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60" yWindow="40" windowWidth="27140" windowHeight="15060" activeTab="0"/>
  </bookViews>
  <sheets>
    <sheet name="Калькуляция" sheetId="1" r:id="rId1"/>
  </sheets>
  <externalReferences>
    <externalReference r:id="rId4"/>
  </externalReferences>
  <definedNames>
    <definedName name="_xlnm._FilterDatabase" localSheetId="0" hidden="1">'Калькуляция'!$J$19:$O$388</definedName>
    <definedName name="OLE_LINK1" localSheetId="0">'Калькуляция'!$C$270</definedName>
    <definedName name="_xlnm.Print_Area" localSheetId="0">'Калькуляция'!$A$1:$Q$390</definedName>
  </definedNames>
  <calcPr fullCalcOnLoad="1"/>
</workbook>
</file>

<file path=xl/sharedStrings.xml><?xml version="1.0" encoding="utf-8"?>
<sst xmlns="http://schemas.openxmlformats.org/spreadsheetml/2006/main" count="981" uniqueCount="475">
  <si>
    <t>Компрессор под давлением до 6 атм. нагнетает воздух в окислительный баллон, в верхней части оголовка которого смонтирован воздухоотделительный клапан, через который избыток воздуха удаляется в атмосферу. Включение и выключение компрессора обеспечивается датчиком потока, смонтированным на трубе водяной магистрали.</t>
  </si>
  <si>
    <t xml:space="preserve"> Фильтры, испольующие реагентную регенерацию укомплектованы марганцовочным бачком.</t>
  </si>
  <si>
    <t>Оборудование для повышения давления воды</t>
  </si>
  <si>
    <t>Оборудование для безнапорной аэрации воды</t>
  </si>
  <si>
    <t xml:space="preserve">     Давление воды в системе поддерживает насос второго подъёма (повышения давления), который запускается  магнитным пускателем по сигналу от реле давления или от датчика потока. Работу насоса поддерживает гидроаккумулятор.                                                                                                                                                                                                      </t>
  </si>
  <si>
    <t>Документ распечатан:</t>
  </si>
  <si>
    <t>Предложение действительно в течение трех дней</t>
  </si>
  <si>
    <t>Калькуляция стоимости системы очистки воды</t>
  </si>
  <si>
    <t>Заказчик:</t>
  </si>
  <si>
    <t>Адрес:</t>
  </si>
  <si>
    <t xml:space="preserve">вариант: </t>
  </si>
  <si>
    <t>Скидка на оборудование, %</t>
  </si>
  <si>
    <t>непустые</t>
  </si>
  <si>
    <t>Скидка на компл. и расх. матер., %</t>
  </si>
  <si>
    <t xml:space="preserve">НОМЕР </t>
  </si>
  <si>
    <t>НАИМЕНОВАНИЕ ПРОДУКЦИИ / УСЛУГИ</t>
  </si>
  <si>
    <t>модель / наименование</t>
  </si>
  <si>
    <t>Ед.Изм.</t>
  </si>
  <si>
    <t>ЦЕНА ев</t>
  </si>
  <si>
    <t>категория</t>
  </si>
  <si>
    <t>ЦЕНА $</t>
  </si>
  <si>
    <t>цена $</t>
  </si>
  <si>
    <t>Цена, руб</t>
  </si>
  <si>
    <t>кол-во</t>
  </si>
  <si>
    <t>сумма евро</t>
  </si>
  <si>
    <t>Сумма, руб.</t>
  </si>
  <si>
    <t>Фильтр-грязевик, комплект</t>
  </si>
  <si>
    <t>шт.</t>
  </si>
  <si>
    <t>Комплектующие изделия для монтажа</t>
  </si>
  <si>
    <t>фильтра грязевика</t>
  </si>
  <si>
    <t>комплект</t>
  </si>
  <si>
    <t xml:space="preserve">Стоимость монтажа </t>
  </si>
  <si>
    <t xml:space="preserve">ед </t>
  </si>
  <si>
    <t>Компрессор для аэрации воды</t>
  </si>
  <si>
    <t>Датчик потока</t>
  </si>
  <si>
    <t>аэрационного комплекта</t>
  </si>
  <si>
    <t>ед</t>
  </si>
  <si>
    <t>Дозирующий насос "Seko" без регулятора</t>
  </si>
  <si>
    <t>Дозирующий насос "Stenner"NSF-50 без регулятора</t>
  </si>
  <si>
    <t>Дозирующий насос "Stenner"NSF-50 с регулятором</t>
  </si>
  <si>
    <t>Дозир. насос "Stenner"NSF-50 со встроенным устройством</t>
  </si>
  <si>
    <t>м устройством "Поток М1"</t>
  </si>
  <si>
    <t>Устройство пропорционального дозирования</t>
  </si>
  <si>
    <t xml:space="preserve">Канистра для реагента </t>
  </si>
  <si>
    <t>25 л.</t>
  </si>
  <si>
    <t>Натрия гипохлорит 9%</t>
  </si>
  <si>
    <t>(Белизна-3,  1л)</t>
  </si>
  <si>
    <t>б.</t>
  </si>
  <si>
    <t>1л</t>
  </si>
  <si>
    <t>дозирующего оборудования</t>
  </si>
  <si>
    <r>
      <t xml:space="preserve">HFI-1054-268/740FA MGS </t>
    </r>
    <r>
      <rPr>
        <sz val="10"/>
        <rFont val="Arial Cyr"/>
        <family val="0"/>
      </rPr>
      <t>45</t>
    </r>
  </si>
  <si>
    <t>HFI-1252-268/740FA MGS</t>
  </si>
  <si>
    <t>HFI-1344-268/740FA MGS</t>
  </si>
  <si>
    <t>HFI-1354-268/740FA MGS</t>
  </si>
  <si>
    <t>HFI-1465-268/740FA MGS</t>
  </si>
  <si>
    <t>HFI-1665-268/740FA MGS</t>
  </si>
  <si>
    <t>HFI-1054-263/740 "BIRM"</t>
  </si>
  <si>
    <t>HFI-1252-263/740 "BIRM"</t>
  </si>
  <si>
    <t xml:space="preserve">HFI-1344-263/740 "BIRM"  </t>
  </si>
  <si>
    <t xml:space="preserve">HFI-1354-263/740 "BIRM"  </t>
  </si>
  <si>
    <t>HFI-1465-263/740 "BIRM"</t>
  </si>
  <si>
    <t>HFI-1665-263/740 "BIRM"</t>
  </si>
  <si>
    <t>HFI-2x1054-AF-4 "BIRM"</t>
  </si>
  <si>
    <t>HFI-2x1344-AF-4 "BIRM"</t>
  </si>
  <si>
    <t xml:space="preserve">HFI-2x1354-AF-4 "BIRM"  </t>
  </si>
  <si>
    <t>HFI-2x1465-AF-4 "BIRM"</t>
  </si>
  <si>
    <t>HFI-2x1665-AF-4 "BIRM"</t>
  </si>
  <si>
    <t>HFI-2x1865-AF-4 "BIRM"</t>
  </si>
  <si>
    <t>Фильтр угольный сорбционно-осветлитель</t>
  </si>
  <si>
    <t>HFK-1665-268/740</t>
  </si>
  <si>
    <t xml:space="preserve">268(263)/440 </t>
  </si>
  <si>
    <t>268(263)/742</t>
  </si>
  <si>
    <t>268(263)/760</t>
  </si>
  <si>
    <t>268(263)/762</t>
  </si>
  <si>
    <t>268(263)/960</t>
  </si>
  <si>
    <t>фильтра обезжелезивателя</t>
  </si>
  <si>
    <t>Стоимость сборки и загрузки фильтра</t>
  </si>
  <si>
    <t>за 1 литр загрузки</t>
  </si>
  <si>
    <t>л.</t>
  </si>
  <si>
    <t>Стоимость наладки фильтра безреагентного</t>
  </si>
  <si>
    <t>Все загрузки кроме MGS,MTM</t>
  </si>
  <si>
    <t>Стоимость наладки фильтра реагентного</t>
  </si>
  <si>
    <t>(MGS, MTM)</t>
  </si>
  <si>
    <t>HFS-1035-255/760 CABINET</t>
  </si>
  <si>
    <t>HFS-1044-255/760</t>
  </si>
  <si>
    <t>HFS-1054-255/760</t>
  </si>
  <si>
    <t>HFS-1252-255/760</t>
  </si>
  <si>
    <t>HFS-1344-255/760</t>
  </si>
  <si>
    <t>HFS-1354-255/760</t>
  </si>
  <si>
    <t>BSPT-long</t>
  </si>
  <si>
    <t>255/440 вместо 255/760</t>
  </si>
  <si>
    <t>255/740 вместо 255/760</t>
  </si>
  <si>
    <t>255/960 вместо 255/760</t>
  </si>
  <si>
    <t>268/760 вместо 255/760</t>
  </si>
  <si>
    <t>HFS-1465-268/760</t>
  </si>
  <si>
    <t>HFS-1665-268/760</t>
  </si>
  <si>
    <t>268/440 вместо 268/760</t>
  </si>
  <si>
    <t>268/740 вместо 268/760</t>
  </si>
  <si>
    <t>268/742 вместо 268/760</t>
  </si>
  <si>
    <t>268/762 вместо 268/760</t>
  </si>
  <si>
    <t>278/762 вместо 268/760</t>
  </si>
  <si>
    <t>278/962F вместо 268/760</t>
  </si>
  <si>
    <t>Разница в стоимости катионита гелевого</t>
  </si>
  <si>
    <t>и макропористого</t>
  </si>
  <si>
    <t>Разн. Стоим. катионита гелевого и анионита</t>
  </si>
  <si>
    <t>макропористого (DOC2001)</t>
  </si>
  <si>
    <t>умягчителя</t>
  </si>
  <si>
    <t>Стоимость наладки умягчителя</t>
  </si>
  <si>
    <t>до 1665 включительно</t>
  </si>
  <si>
    <t>Колба фильтра патронного ВВ-20</t>
  </si>
  <si>
    <t>Контейнер с углем и серебросодер. смолой</t>
  </si>
  <si>
    <t>Картридж  APC-2045</t>
  </si>
  <si>
    <t>Колба фильтра патронного ВВ-10</t>
  </si>
  <si>
    <t>Картридж  APP-1045-25</t>
  </si>
  <si>
    <t>Колба фильтра патронного "SLIM LINE"</t>
  </si>
  <si>
    <t>фильтра патронного</t>
  </si>
  <si>
    <t>Ультрафиолетовый стерилизатор</t>
  </si>
  <si>
    <t>у/ф стерилизатора</t>
  </si>
  <si>
    <t>Соль таблетированная</t>
  </si>
  <si>
    <t>Аквилон, 25 кг.</t>
  </si>
  <si>
    <t>мешок</t>
  </si>
  <si>
    <t>Калий марганцовокислый</t>
  </si>
  <si>
    <t>Мосреактив, 1 кг.</t>
  </si>
  <si>
    <t>пакет</t>
  </si>
  <si>
    <t>Кислота лимонная</t>
  </si>
  <si>
    <t>Батарея питания типа "Крона"</t>
  </si>
  <si>
    <t xml:space="preserve"> 9 вольт</t>
  </si>
  <si>
    <t xml:space="preserve"> добавка в умягчитель</t>
  </si>
  <si>
    <t>Установка обратного осмоса бытовая</t>
  </si>
  <si>
    <t xml:space="preserve">Комплектующие для монтажа установки обратн. </t>
  </si>
  <si>
    <t>осмоса "MERLIN"</t>
  </si>
  <si>
    <t>Монтаж установки обратного осмоса</t>
  </si>
  <si>
    <t>под мойкой на кухне</t>
  </si>
  <si>
    <t>Демонтаж комплекта оборудования</t>
  </si>
  <si>
    <t>Перезагрузка баллона</t>
  </si>
  <si>
    <t>от 0835 до 1354 включ.</t>
  </si>
  <si>
    <t>за 1 л.</t>
  </si>
  <si>
    <t>от 1465 до 1865 включ.</t>
  </si>
  <si>
    <t>Клапан управления AUTOTROL</t>
  </si>
  <si>
    <t>268/960 расходомер</t>
  </si>
  <si>
    <t>для клапана Autotrol</t>
  </si>
  <si>
    <t>ед.</t>
  </si>
  <si>
    <t>Адаптер питания  220/9 V.~</t>
  </si>
  <si>
    <t>для контроллера Autotrol</t>
  </si>
  <si>
    <t xml:space="preserve">Микропереключатель на клапан 268/263 </t>
  </si>
  <si>
    <t>для управления внешн. устр.</t>
  </si>
  <si>
    <t>Контроллер электромеханический  тип 440</t>
  </si>
  <si>
    <t>Контроллер электронный                  тип 962</t>
  </si>
  <si>
    <t>Смола катионообменная гелевая, меш. 25л.</t>
  </si>
  <si>
    <t>наполнитель для фильтров</t>
  </si>
  <si>
    <t>"BIRM", мешок 28л.</t>
  </si>
  <si>
    <t>"MANGANESE GREENSAND", мешок 28л.</t>
  </si>
  <si>
    <t>"Гидроантрацит", мешок 28л.</t>
  </si>
  <si>
    <t>поддерживающий слой</t>
  </si>
  <si>
    <t xml:space="preserve">Насос повыш. давления / второго подъема. </t>
  </si>
  <si>
    <t>Насос колодезный EBARA</t>
  </si>
  <si>
    <t>Реле давления в сборе с манометром</t>
  </si>
  <si>
    <t>Мембранный бак (гидроаккумулятор)</t>
  </si>
  <si>
    <t>Распылитель воды для монтажа в емкость</t>
  </si>
  <si>
    <t>Клапан впускной поплавковый</t>
  </si>
  <si>
    <t>Клапан электромагнитный CEME н/з</t>
  </si>
  <si>
    <t>Фильтр воздушный с дыхательным клапаном</t>
  </si>
  <si>
    <t>емкости накопительной</t>
  </si>
  <si>
    <t>Монтаж и обвязка емкости накопительной</t>
  </si>
  <si>
    <t>Компрессор для аэрации воды аквариумный</t>
  </si>
  <si>
    <t>компрессора</t>
  </si>
  <si>
    <t xml:space="preserve">Комплектующие изделия для монтажа </t>
  </si>
  <si>
    <t>------------</t>
  </si>
  <si>
    <t>---------------------------------------------------------------</t>
  </si>
  <si>
    <t>-------</t>
  </si>
  <si>
    <t>ИТОГО:</t>
  </si>
  <si>
    <t>.</t>
  </si>
  <si>
    <t>=1$</t>
  </si>
  <si>
    <t>из них:</t>
  </si>
  <si>
    <t>оборудование</t>
  </si>
  <si>
    <t>монтажные работы:</t>
  </si>
  <si>
    <t>комплектующие:</t>
  </si>
  <si>
    <t>расходные материалы:</t>
  </si>
  <si>
    <t>транспортные расходы:</t>
  </si>
  <si>
    <t>Внесено:</t>
  </si>
  <si>
    <t>К доплате:</t>
  </si>
  <si>
    <t>3) Обустроить твердую горизонтальную площадку для установки фильтров, желательно выложенную плиткой.</t>
  </si>
  <si>
    <t>4) В помещении должно иметься освещение. Температура воздуха не должна быть ниже 15 градусов . Для наладки системы очистки воды в водопроводе должно быть давление не менее 3 бар.(Рабочее давление системы 3 - 6 бар)</t>
  </si>
  <si>
    <t>Афанасьев Андрей Вадимович</t>
  </si>
  <si>
    <t>технический директор</t>
  </si>
  <si>
    <t>Телефоны для связи:</t>
  </si>
  <si>
    <r>
      <t xml:space="preserve">Смола серебросодержащая </t>
    </r>
    <r>
      <rPr>
        <b/>
        <sz val="8"/>
        <rFont val="Arial Cyr"/>
        <family val="0"/>
      </rPr>
      <t>бактерицидная</t>
    </r>
  </si>
  <si>
    <t>1$=</t>
  </si>
  <si>
    <t>1EUR=</t>
  </si>
  <si>
    <t>ВСЕГО:</t>
  </si>
  <si>
    <t>байпаса полного</t>
  </si>
  <si>
    <t>Монтаж байпаса полного</t>
  </si>
  <si>
    <t>Емкость накопительная из ПВХ /Россия/</t>
  </si>
  <si>
    <t>Кабель коммутирующий  MG 962, Дуплекс</t>
  </si>
  <si>
    <t>вентилятора</t>
  </si>
  <si>
    <t xml:space="preserve">Вентилятор центробежный </t>
  </si>
  <si>
    <t>WBN-150/1</t>
  </si>
  <si>
    <t>Аэратор трубчатый</t>
  </si>
  <si>
    <t>www.aquafreshsystems.ru</t>
  </si>
  <si>
    <t>Оплата в рублях</t>
  </si>
  <si>
    <t>Фильтр осветлитель без наполнителя и поддерж.слоя</t>
  </si>
  <si>
    <t>HF*-3672-Magnum IT,FL,942, UWB 7</t>
  </si>
  <si>
    <r>
      <t xml:space="preserve">"Filter AG" </t>
    </r>
    <r>
      <rPr>
        <b/>
        <sz val="8"/>
        <rFont val="Arial Cyr"/>
        <family val="0"/>
      </rPr>
      <t xml:space="preserve">фильтр-агрегатный песок </t>
    </r>
    <r>
      <rPr>
        <b/>
        <sz val="10"/>
        <rFont val="Arial Cyr"/>
        <family val="0"/>
      </rPr>
      <t>мешок 28л.</t>
    </r>
  </si>
  <si>
    <t>Дозирующий насос "Seko" c регулятором</t>
  </si>
  <si>
    <t>Установка приготовления гипохлорита натрия непрерывного действия</t>
  </si>
  <si>
    <t>50 л.</t>
  </si>
  <si>
    <t>M-77  ( ручной,  1")</t>
  </si>
  <si>
    <t>HFI-1865-263/740 "Centaur"</t>
  </si>
  <si>
    <t>278/762</t>
  </si>
  <si>
    <t>278/742</t>
  </si>
  <si>
    <t>278/742 вместо 268/760</t>
  </si>
  <si>
    <t xml:space="preserve">Картридж для фильтра патронного "SLIM LINE" </t>
  </si>
  <si>
    <t>Каталитический уголь "Centaur", 28л</t>
  </si>
  <si>
    <t>устройства защиты от протечек</t>
  </si>
  <si>
    <t>Устройство защиты от протечек</t>
  </si>
  <si>
    <t>"Нептун" + 2 датчика</t>
  </si>
  <si>
    <t>Клапан электромагнитный YCDK 11-25</t>
  </si>
  <si>
    <t>Клапан электромагнитный YCDK 12-25</t>
  </si>
  <si>
    <t>Фильтр-грязевик, комплект с сеткой 300 мкм</t>
  </si>
  <si>
    <t>Стерилизатор ионообменной смолы с датчиком соли</t>
  </si>
  <si>
    <t>Перекись водорода 38%</t>
  </si>
  <si>
    <t>Смесь ионообменная "ЭКОСОФТ", меш. 25л.</t>
  </si>
  <si>
    <r>
      <t xml:space="preserve">CAN-KDF--контейнер </t>
    </r>
    <r>
      <rPr>
        <b/>
        <sz val="8"/>
        <rFont val="Arial Cyr"/>
        <family val="0"/>
      </rPr>
      <t>под бак с горловиной 2,5"</t>
    </r>
  </si>
  <si>
    <t>Очистка / замена сетки фильтра солевого канала и эжектора</t>
  </si>
  <si>
    <t>Диагностика / настройка контроллера клапана управления</t>
  </si>
  <si>
    <t>Диагностика / настройка интенсивности потоков клапана управления</t>
  </si>
  <si>
    <t>Диагностика работы дозирующего насоса</t>
  </si>
  <si>
    <t>Прочистка точки дозирования</t>
  </si>
  <si>
    <t>Замена перистальтической трубки дозирующего насоса</t>
  </si>
  <si>
    <t>Трубка перистальтическая # 2 (№2)</t>
  </si>
  <si>
    <t>Stenner</t>
  </si>
  <si>
    <t>Вкладыш обратного клапана</t>
  </si>
  <si>
    <t>Бак для марганца 10" х 16" (266мм х420 мм)</t>
  </si>
  <si>
    <t>Реле cухого хода</t>
  </si>
  <si>
    <t>Стабилизатор напряжения</t>
  </si>
  <si>
    <t>Настенный монтаж стабилизатора напряжения</t>
  </si>
  <si>
    <t>Магнитный пускатель имп. с щитком</t>
  </si>
  <si>
    <t>Диагностика и замена картриджей в бытовой установке обратного осмоса</t>
  </si>
  <si>
    <t>Полный комплект картриджей для бытовой установки обратного осмоса</t>
  </si>
  <si>
    <t>Диагностика/наладка реле давления и подкачка гидроаккумулятора</t>
  </si>
  <si>
    <t>2) Обеспечить стабильное электропитание для устройств автоматической промывки фильтров, дозирующих насосов, аэраторов и т.п. в месте установки фильтров (установить не менее трех розеток).</t>
  </si>
  <si>
    <t>Комплектующие изделия для монтажа переливной трубы емкости накопит.</t>
  </si>
  <si>
    <t>Монтаж переливной трубы емкости накопительной</t>
  </si>
  <si>
    <t>Пробивка, сверление отверстий сквозных в стенах и перекрытиях</t>
  </si>
  <si>
    <t xml:space="preserve">Магнитный пускатель имп. </t>
  </si>
  <si>
    <t>скидка,%</t>
  </si>
  <si>
    <t>1) В месте установки фильтров должны иметься канализационный, либо дренажный сток, и аварийный трап в полу, выполненные трубой с Ду=50.</t>
  </si>
  <si>
    <t>1.25" (OVENTROP)/Германия/</t>
  </si>
  <si>
    <t>F-76s (HONEYWELL)/Германия/</t>
  </si>
  <si>
    <t>AP-2 /США/</t>
  </si>
  <si>
    <t>1" /Италия/</t>
  </si>
  <si>
    <t>перистальтич./Италия/</t>
  </si>
  <si>
    <t>45MPHP-10#2 /США/</t>
  </si>
  <si>
    <t>45MHP-10#2 /США/</t>
  </si>
  <si>
    <t>"Поток М1" (Фокар)/РФ/</t>
  </si>
  <si>
    <t>МПВ-2,5 pro /РФ/</t>
  </si>
  <si>
    <t>МПВ-6,0 pro /РФ/</t>
  </si>
  <si>
    <t>"Санатор-15" /РФ/</t>
  </si>
  <si>
    <t>Big Blue 20 "Aquаpro"/Тайвань/</t>
  </si>
  <si>
    <t xml:space="preserve"> для BB-20 /Тайвань/</t>
  </si>
  <si>
    <t>Big Blue 10 "Aquapro"/Тайвань/</t>
  </si>
  <si>
    <t xml:space="preserve"> для BB-10 /Тайвань/</t>
  </si>
  <si>
    <t>с картр. 50 мкм /Тайвань/</t>
  </si>
  <si>
    <t>UV-06gpm (1,4 куб.м/час)/Тайвань/</t>
  </si>
  <si>
    <t>UV-12gpm (2,7 куб.м/час)/Тайвань/</t>
  </si>
  <si>
    <t>AP-580 /Тайвань/</t>
  </si>
  <si>
    <t>AP-600 /Тайвань/</t>
  </si>
  <si>
    <t>"MERLIN" /США/</t>
  </si>
  <si>
    <t>CC-J7181-03 /США/</t>
  </si>
  <si>
    <t>SPERONI   RSM-4 /Италия/</t>
  </si>
  <si>
    <t>SPERONI   RSM-5 /Италия/</t>
  </si>
  <si>
    <t>IDROGO   40/12 /Италия/</t>
  </si>
  <si>
    <t>MULTIGO 40/08 /Италия/</t>
  </si>
  <si>
    <t>RM-5 /Италия/</t>
  </si>
  <si>
    <t>CONDOR FF-4/8 /Германия/</t>
  </si>
  <si>
    <t>PM-3 /Италия/</t>
  </si>
  <si>
    <t>100 л.(Zilmet) /Италия/</t>
  </si>
  <si>
    <t>200 л.(Zilmet) /Италия/</t>
  </si>
  <si>
    <t>300 л.(Zilmet) /Италия/</t>
  </si>
  <si>
    <t xml:space="preserve">  410 л. Для воды /РФ/</t>
  </si>
  <si>
    <t xml:space="preserve">  780 л. Для воды /РФ/</t>
  </si>
  <si>
    <t>1000 л. Для воды /РФ/</t>
  </si>
  <si>
    <t>1500 л. Для воды /РФ/</t>
  </si>
  <si>
    <t>3,1 куб. м/ч /РФ/</t>
  </si>
  <si>
    <t>4,2 куб. м/ч /РФ/</t>
  </si>
  <si>
    <t>1' /Италия/</t>
  </si>
  <si>
    <t>3/4" /Италия/</t>
  </si>
  <si>
    <t>/Италия/</t>
  </si>
  <si>
    <t>Выключатель поплавковый на запол/опор</t>
  </si>
  <si>
    <t>Sonic /Китай/</t>
  </si>
  <si>
    <t>1" NC /Китай/</t>
  </si>
  <si>
    <t>1" NO /Китай/</t>
  </si>
  <si>
    <t>Фильтр обезжелезиватель*</t>
  </si>
  <si>
    <t>Применение клапана/контроллера*</t>
  </si>
  <si>
    <t>Установка умягчения воды периодическ.*</t>
  </si>
  <si>
    <t xml:space="preserve">Байпас 256* </t>
  </si>
  <si>
    <t>танки напорные ("Wave Cyber") /Китай/ , клапаны управления ("GE Osmonics") /США/</t>
  </si>
  <si>
    <t xml:space="preserve">* - всё оборудование для фильтрации воды - сборка на объекте, производство: </t>
  </si>
  <si>
    <t>Оборудование для подъема воды из скважин (колодцев). Обустройство скважин.</t>
  </si>
  <si>
    <t>Насос скважинный "Grundfos"</t>
  </si>
  <si>
    <t>Оборудование для дозирования реагентов в воду</t>
  </si>
  <si>
    <t>Фильтры обезжелезиватели и осветлители воды</t>
  </si>
  <si>
    <t>Фильтры умягчители воды и другие ионообменники</t>
  </si>
  <si>
    <t>Фильтры патронные тонкой и грубой очистки воды</t>
  </si>
  <si>
    <t xml:space="preserve">Ультрафиолетовые стерилизаторы воды </t>
  </si>
  <si>
    <t>Установки обратного осмоса</t>
  </si>
  <si>
    <t>Комплектующие к засыпным фильтрам и сервисные работы</t>
  </si>
  <si>
    <t xml:space="preserve">Оборудование для напорной аэрации воды </t>
  </si>
  <si>
    <t>Прочие работы и расходы</t>
  </si>
  <si>
    <t>Фильтры для грубой очистки воды</t>
  </si>
  <si>
    <t>Монтаж скважинного (колодезного) насоса</t>
  </si>
  <si>
    <t>…На входе системы очистки воды установлен фильтр—грязевик. Фильтрующим элементом является сетка из нерж. стали с ячейкой 0,2-0,5 мм. Фильтр-грязевик предназначен для задержания крупных включений ( щепки, песок, металлическая и пластиковая стружка и т.п.). Главная цель грязевика - защитить клапаны устройства управления промывкой фильтра обезжелезивателя………..</t>
  </si>
  <si>
    <t>Устройства обеспечения безопасности и стабилизатор напряжения питания</t>
  </si>
  <si>
    <t xml:space="preserve">  ПЕРЕЧЕНЬ МЕРОПРИЯТИЙ, ПРЕДШЕСТВУЮЩИХ УСТАНОВКЕ ФИЛЬТРОВ.</t>
  </si>
  <si>
    <t>Согласовано:</t>
  </si>
  <si>
    <t>От Подрядчика:</t>
  </si>
  <si>
    <t>От Заказчика:__________________________________________________________________</t>
  </si>
  <si>
    <t>Дозирующий насос подаёт раствор реагента из канистры в трубу или в ёмкость.</t>
  </si>
  <si>
    <t>Оголовок чугун/пластик на обсадную трубу</t>
  </si>
  <si>
    <t>Оголовок нерж.сталь на обсадную трубу</t>
  </si>
  <si>
    <t>Труба ПНД PN16</t>
  </si>
  <si>
    <t>Dу=32</t>
  </si>
  <si>
    <t>Dу=40</t>
  </si>
  <si>
    <t>скважинного(колодезного) насоса</t>
  </si>
  <si>
    <t>на глубину до 40 м.</t>
  </si>
  <si>
    <t>на глубину до 80 м.</t>
  </si>
  <si>
    <t>на глубину до 120 м.</t>
  </si>
  <si>
    <t>на глубину до 160 м.</t>
  </si>
  <si>
    <t>Монтаж скважинного насоса</t>
  </si>
  <si>
    <t>поливочного крана</t>
  </si>
  <si>
    <t>гидроаккумулятора</t>
  </si>
  <si>
    <t>SQ2-55</t>
  </si>
  <si>
    <t>SQ3-65</t>
  </si>
  <si>
    <t>SQ3-105</t>
  </si>
  <si>
    <t>Монтаж поливочного крана</t>
  </si>
  <si>
    <t>Монтаж металлического кессона</t>
  </si>
  <si>
    <t>циллиндрического</t>
  </si>
  <si>
    <t>Прокладка магистрального трубопровода</t>
  </si>
  <si>
    <t>трубой ПНД</t>
  </si>
  <si>
    <t>п.м.</t>
  </si>
  <si>
    <t>Монтаж кабельной муфты термоусадочной</t>
  </si>
  <si>
    <t>(дополнительной)</t>
  </si>
  <si>
    <t>Электроподключение одной нагрузки с прокладкой кабеля до 3 мп</t>
  </si>
  <si>
    <t>SQ2-70</t>
  </si>
  <si>
    <t>SQ3-</t>
  </si>
  <si>
    <t>D=127/32</t>
  </si>
  <si>
    <t>D=160/1,25"</t>
  </si>
  <si>
    <t>Кессон стальной циллиндрический с крышкой</t>
  </si>
  <si>
    <t>Трос из нержавейки 3мм кв</t>
  </si>
  <si>
    <t>Трос из нержавейки 5мм кв</t>
  </si>
  <si>
    <t>Кабель электрический подводный 3*1,5</t>
  </si>
  <si>
    <t>Кабель электрический подводный 3*2,5</t>
  </si>
  <si>
    <t>Кабель электрический подводный 3*4,0</t>
  </si>
  <si>
    <t>Кабельная муфта</t>
  </si>
  <si>
    <t>Grundfos</t>
  </si>
  <si>
    <t>фильтр-2</t>
  </si>
  <si>
    <t>фильтр-1</t>
  </si>
  <si>
    <t>2.0" (RR)/Италия/</t>
  </si>
  <si>
    <t>Аэрационная колонна в сборе в возд.клап.</t>
  </si>
  <si>
    <t>(баллон 0844)/США/</t>
  </si>
  <si>
    <t>Очистка сетки фильтра-грязевика</t>
  </si>
  <si>
    <t>Замена картриджа в патронном фильтре</t>
  </si>
  <si>
    <t xml:space="preserve">  Компрессор для барботажа воздуха через толщу воды, находящейся в нижней половине аэрационной ёмкости подаёт воздух на трубчатый мембранный аэрационный элемент, установленный у дна ёмкости.  В нижней части ёмкости установлен также поплавковый выключатель защищающий насос второго подъёма по сухому ходу.                                                                                             </t>
  </si>
  <si>
    <t>pedrollo CB2 CP 220C (32-23/0-50)</t>
  </si>
  <si>
    <t>4500 л. Для воды /РФ/</t>
  </si>
  <si>
    <t>8000 л. Для воды /РФ/</t>
  </si>
  <si>
    <t>50 см /РФ/</t>
  </si>
  <si>
    <t>Адаптер скважинный универсальный</t>
  </si>
  <si>
    <t>Монтаж адаптера скважинного универсального</t>
  </si>
  <si>
    <t xml:space="preserve"> с крышкой D=156</t>
  </si>
  <si>
    <t>Земляные работы</t>
  </si>
  <si>
    <t xml:space="preserve"> Вода от источника поступает в аэрационную ёмкость. В аэрационной ёмкости  происходит предварительная подготовка воды к процессу фильтрации, включающая в себя удаление сероводорода, углекислого газа, радона. окисление двухвалентных железа и марганца до трёхвалентного состояния, повышение Ph.</t>
  </si>
  <si>
    <t xml:space="preserve">Вода в ёмкость выливается через специальные форсунки, обеспечивающие разбрызгивание мелкими каплями. Ёмкость заполнена водой до половины. Поэтому капли падают на поверхность воды с высоты 0,9-1,1 м.                                                              </t>
  </si>
  <si>
    <t xml:space="preserve">  Вентилятор центробежный обеспечивает интенсивный обмен воздуха в верхней части аэрационной ёмкости, удаляя из неё высвободившиеся из воды газы.    </t>
  </si>
  <si>
    <t xml:space="preserve">  Отключение подачи воды обеспечивает  сигнал от поплавкового выключателя, когда уровень воды в аэрационной ёмкости достигает заданного. </t>
  </si>
  <si>
    <t>Устройство пропорционального дозирования управляет дозирующим насосом пропорционально расходу воды, благодаря электронному датчику , установленному на трубе водяной магистрали.</t>
  </si>
  <si>
    <t>фильтрующей среды (загрузки), поддерживающего слоя гравия, дренажно-распределительной системы.</t>
  </si>
  <si>
    <t xml:space="preserve">Фильтр состоит из напорного бака, выполненного из полиэтилена высокого давления, снаружи покрытого эпоксидной смолой со стекловолоконным армированием для придания механической прочности, автоматического блока управления работой фильтра производства концерна «GE Water and Process Technology» (США), </t>
  </si>
  <si>
    <t>фильтрующей среды (загрузки), поддерживающего слоя гравия, дренажно-распределительной системы, бачка для хранения и растворения соли.</t>
  </si>
  <si>
    <t>Кабель электрический подводный 4*2,5</t>
  </si>
  <si>
    <t>прочие расходы:</t>
  </si>
  <si>
    <t>SQ3-80</t>
  </si>
  <si>
    <t>SQ3-95</t>
  </si>
  <si>
    <t>SQ3-55</t>
  </si>
  <si>
    <t>SQ2-85</t>
  </si>
  <si>
    <t>без доставки!!</t>
  </si>
  <si>
    <t>Предложенное оборудование имеет наилучшее соотношение цена-качество, однако по пожеланию заказчика мы можем предложить обрудование других производителей.</t>
  </si>
  <si>
    <t>Установленный на выходе картриджный  Фильтр тонкой очистки  удаляет из воды взвешенные частицы с размером более 5 мкм. Контейнер (картридж) с активным углем (4 литра) сорбирует из воды привкусы, запахи, органику, хлор и его производные, и т.п.</t>
  </si>
  <si>
    <t>При подборе оборудования и комплектующих мы руководствуемся принципом: всегда предлагать только надёжную, проверенную технику…</t>
  </si>
  <si>
    <t>Раствор соли поваренной таблетированной нужен для отмывки умягчителя от ионов кальция, магния и др. металлов, и расходуется в процессе регенерации фильтров (ориентировочный расход соли - 1 кг. на 1000 л. потреблённой воды).</t>
  </si>
  <si>
    <t>Раствор калия марганцовокислого нужен для промывки обезжелезивателя , и применяется в процессе регенерации фильтров. (ориентировочный расход марганцовки - 1 кг. на 80000 л. потреблённой воды).</t>
  </si>
  <si>
    <t xml:space="preserve">Для нейтрализации биологических загрязнений в танк фильтра умягчителя можно добавить серебросодержащую смолу из расчета 0,04 л. смолы на 1 л. катионита. При прохождении воды через фильтрующий материал в нее поступают ионы серебра с концентрацией 0,005 - </t>
  </si>
  <si>
    <t>0,006 мг./л., которые имеют бактерицидное действие и уничтожают все бактерии и вызываемые ими инфекции. Нормы СаНПиН 2.1.4559-96 допускают концентрацию серебра в воде в 10 раз больше -- 0,05 мг./л.</t>
  </si>
  <si>
    <t>Шаровый кран с электроприводом</t>
  </si>
  <si>
    <t>1" FAR</t>
  </si>
  <si>
    <t>шарового крана с электроприводом</t>
  </si>
  <si>
    <t>Legrand  /Франция/</t>
  </si>
  <si>
    <t>УЗО 30 мА 25 А</t>
  </si>
  <si>
    <t>наладка/сервис оборудования:</t>
  </si>
  <si>
    <t>Монтаж реле давления,  гидроаккумулятора и манометра</t>
  </si>
  <si>
    <t>Пусконаладка скважинного насоса</t>
  </si>
  <si>
    <t>Электроподключение реле давления, щитка и магнитного пускателя с прокладкой проводов в кабель-канале или в гофре.</t>
  </si>
  <si>
    <t>MERLIN GERIN 25a</t>
  </si>
  <si>
    <t xml:space="preserve">Комплектующие изделия для электроподключения оборудования </t>
  </si>
  <si>
    <t>Монтаж насоса повышения давления.</t>
  </si>
  <si>
    <t xml:space="preserve">Пусконаладка  насоса </t>
  </si>
  <si>
    <t>Комплектующие изделия для монтажа г/акк.и насоса повышения давления</t>
  </si>
  <si>
    <t>Диагностика и подкачка гидроаккумулятора</t>
  </si>
  <si>
    <t>Реле отсрочки выключения ASM-01 с магн. пускателем Legrand 4049</t>
  </si>
  <si>
    <t>Выключатель поплавковый аварийного отключения</t>
  </si>
  <si>
    <t>Электроподключение реле отсрочки и магнитного пускателя с прокладкой проводов в кабель-канале или в гофре.</t>
  </si>
  <si>
    <t>Пусконаладка  аэрационного комплекса</t>
  </si>
  <si>
    <t>Монтаж  вентилятора центробежного</t>
  </si>
  <si>
    <t xml:space="preserve">Стоимость наладки </t>
  </si>
  <si>
    <t>Стоимость наладки</t>
  </si>
  <si>
    <t xml:space="preserve">Монтаж </t>
  </si>
  <si>
    <t>Монтаж и электроподключение</t>
  </si>
  <si>
    <t xml:space="preserve">Пусконаладка </t>
  </si>
  <si>
    <t>(L=глуб. погружения от оголовка+2м)</t>
  </si>
  <si>
    <t>Труба ПНД PN10</t>
  </si>
  <si>
    <t xml:space="preserve">Труба ПНД PN10   </t>
  </si>
  <si>
    <t>Исполнитель</t>
  </si>
  <si>
    <t>Электроподключение компрессора и датчика потока с прокладкой проводов в кабель-канале или в гофре.</t>
  </si>
  <si>
    <t>Стоимость монтажа</t>
  </si>
  <si>
    <t>Электроподключение дозирующего оборудования с прокладкой проводов в кабель-канале или в гофре.</t>
  </si>
  <si>
    <t>стерилизатора смолы</t>
  </si>
  <si>
    <t>электроподключение оборудования:</t>
  </si>
  <si>
    <t>минимальный аванс</t>
  </si>
  <si>
    <t>:</t>
  </si>
  <si>
    <t>Скидка на монтаж,эл.подкл.,наладку, %</t>
  </si>
  <si>
    <r>
      <t>Сорбент АС</t>
    </r>
    <r>
      <rPr>
        <b/>
        <sz val="8"/>
        <rFont val="Arial Cyr"/>
        <family val="0"/>
      </rPr>
      <t xml:space="preserve">  </t>
    </r>
    <r>
      <rPr>
        <b/>
        <sz val="10"/>
        <rFont val="Arial Cyr"/>
        <family val="0"/>
      </rPr>
      <t xml:space="preserve"> 60л </t>
    </r>
    <r>
      <rPr>
        <b/>
        <sz val="8"/>
        <rFont val="Arial Cyr"/>
        <family val="0"/>
      </rPr>
      <t>(40кг)</t>
    </r>
  </si>
  <si>
    <r>
      <t xml:space="preserve">"МИУ-С-3" активный уголь, 57л </t>
    </r>
    <r>
      <rPr>
        <b/>
        <sz val="8"/>
        <rFont val="Arial Cyr"/>
        <family val="0"/>
      </rPr>
      <t>(40 кг)</t>
    </r>
  </si>
  <si>
    <r>
      <t xml:space="preserve">Песок кварцевый (0,4-0,7 мм), 17л </t>
    </r>
    <r>
      <rPr>
        <b/>
        <sz val="8"/>
        <rFont val="Arial Cyr"/>
        <family val="0"/>
      </rPr>
      <t>(25 кг)</t>
    </r>
  </si>
  <si>
    <r>
      <t xml:space="preserve">Гравий окатанный (3-5 мм), 17л </t>
    </r>
    <r>
      <rPr>
        <b/>
        <sz val="8"/>
        <rFont val="Arial Cyr"/>
        <family val="0"/>
      </rPr>
      <t>(25 кг)</t>
    </r>
  </si>
  <si>
    <r>
      <t xml:space="preserve">"Шунгит", мешок 24л. </t>
    </r>
    <r>
      <rPr>
        <b/>
        <sz val="8"/>
        <rFont val="Arial Cyr"/>
        <family val="0"/>
      </rPr>
      <t>(25 кг)</t>
    </r>
  </si>
  <si>
    <r>
      <t xml:space="preserve">"Цеолит", мешок 24л. </t>
    </r>
    <r>
      <rPr>
        <b/>
        <sz val="8"/>
        <rFont val="Arial Cyr"/>
        <family val="0"/>
      </rPr>
      <t>(25 кг)</t>
    </r>
  </si>
  <si>
    <t>Профилактика аэрационного элемента</t>
  </si>
  <si>
    <t>Натрия гипохлорит 18%</t>
  </si>
  <si>
    <t>товарный марки А</t>
  </si>
  <si>
    <t>Реагенты для дозирования и промывки засыпных фильтров воды</t>
  </si>
  <si>
    <t>Монтаж компрессора низконапорного</t>
  </si>
  <si>
    <t xml:space="preserve">Шаровый кран 1" с электроприводом и датчиком протечки </t>
  </si>
  <si>
    <t>"GIDROLOCK std" + 2 датчика</t>
  </si>
  <si>
    <t>"STOP-ZATOP"</t>
  </si>
  <si>
    <t xml:space="preserve">Шаровый кран 1" с электроприводом и  2 датчиками протечки </t>
  </si>
  <si>
    <t>"GIDROLOCK energy" Z3 + 2 датчика</t>
  </si>
  <si>
    <t>Штиль R400ST /РФ/</t>
  </si>
  <si>
    <t>Фильтр-грязевик, комплект с диском 200 мкм</t>
  </si>
  <si>
    <t>1,0"(ARKAL)/Израиль/</t>
  </si>
  <si>
    <t>1,0"SUPER(ARKAL)/Израиль/</t>
  </si>
  <si>
    <t>1,5"(ARKAL)/Израиль/</t>
  </si>
  <si>
    <t>1,5"SUPER(ARKAL)/Израиль/</t>
  </si>
  <si>
    <t>Диск запасной 200 мкм (короткий)</t>
  </si>
  <si>
    <t>"SUPER"(ARKAL)/Израиль/</t>
  </si>
  <si>
    <t>(ARKAL)/Израиль/</t>
  </si>
  <si>
    <t>Диск запасной 200 мкм (длинный)</t>
  </si>
  <si>
    <t xml:space="preserve">Байпас 1265(263/268/273/278)* </t>
  </si>
  <si>
    <t>Для справки:</t>
  </si>
  <si>
    <t>оборудование+материалы</t>
  </si>
  <si>
    <t>работы</t>
  </si>
  <si>
    <t>% стоимость работ</t>
  </si>
  <si>
    <r>
      <t xml:space="preserve">Транспортные расходы за </t>
    </r>
    <r>
      <rPr>
        <b/>
        <sz val="10"/>
        <rFont val="Arial Cyr"/>
        <family val="0"/>
      </rPr>
      <t>километро-дни</t>
    </r>
    <r>
      <rPr>
        <sz val="10"/>
        <rFont val="Arial Cyr"/>
        <family val="0"/>
      </rPr>
      <t>:</t>
    </r>
  </si>
  <si>
    <t>дне-км.</t>
  </si>
  <si>
    <t xml:space="preserve">Картридж  APP/PPS-2045 </t>
  </si>
  <si>
    <t>Анализ воды</t>
  </si>
  <si>
    <t>Врезка дренажной канализации Ду=100</t>
  </si>
  <si>
    <t>Труба-фиттинги канализационная Ду.100</t>
  </si>
  <si>
    <t>Реле cухого хода PM-3 /Италия/</t>
  </si>
  <si>
    <t>Тиосульфат натрия мешок 50кг</t>
  </si>
  <si>
    <t>Тринатрийфосфат мешок 35 кг</t>
  </si>
  <si>
    <t xml:space="preserve">Сода каустическая  </t>
  </si>
  <si>
    <t>Петров Петр Петрович</t>
  </si>
  <si>
    <t>пос. Петровское</t>
  </si>
  <si>
    <t>среднестатистический с дозированием реагента.</t>
  </si>
  <si>
    <t>(495) 215-09-16</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</si>
</sst>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C09]* #,##0.00_-;\-[$$-C09]* #,##0.00_-;_-[$$-C09]*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2]\ * #,##0.00_-;\-[$€-2]\ * #,##0.00_-;_-[$€-2]\ * &quot;-&quot;??_-;_-@_-"/>
    <numFmt numFmtId="178" formatCode="#,##0.00_р_."/>
    <numFmt numFmtId="179" formatCode="_-[$$-409]* #,##0.00_ ;_-[$$-409]* \-#,##0.00\ ;_-[$$-409]* &quot;-&quot;??_ ;_-@_ "/>
    <numFmt numFmtId="180" formatCode="_-* #,##0.00\ [$€-40C]_-;\-* #,##0.00\ [$€-40C]_-;_-* &quot;-&quot;??\ [$€-40C]_-;_-@_-"/>
    <numFmt numFmtId="181" formatCode="#,##0.00\ [$$-C0C]_-"/>
    <numFmt numFmtId="182" formatCode="[$-FC19]d\ mmmm\ yyyy\ &quot;г.&quot;"/>
    <numFmt numFmtId="183" formatCode="000000"/>
    <numFmt numFmtId="184" formatCode="#,##0.00\ [$$-C0C]_-;#,##0.00\ [$$-C0C]\-"/>
    <numFmt numFmtId="185" formatCode="#,##0.00&quot;р.&quot;"/>
    <numFmt numFmtId="186" formatCode="#,##0.00\ [$€-1];\-#,##0.00\ [$€-1]"/>
    <numFmt numFmtId="187" formatCode="_-* #,##0.00\ [$$-C0C]_-;_-* #,##0.00\ [$$-C0C]\-;_-* &quot;-&quot;??\ [$$-C0C]_-;_-@_-"/>
    <numFmt numFmtId="188" formatCode="_-* #,##0.00\ [$€-80C]_-;\-* #,##0.00\ [$€-80C]_-;_-* &quot;-&quot;??\ [$€-80C]_-;_-@_-"/>
    <numFmt numFmtId="189" formatCode="dd/mm/yy\ h:mm;@"/>
    <numFmt numFmtId="190" formatCode="#,##0.00\ [$€-40C];\-#,##0.00\ [$€-40C]"/>
    <numFmt numFmtId="191" formatCode="_-* #,##0.00\ [$€-40B]_-;\-* #,##0.00\ [$€-40B]_-;_-* &quot;-&quot;??\ [$€-40B]_-;_-@_-"/>
    <numFmt numFmtId="192" formatCode="_-* #,##0.00\ [$€-816]_-;\-* #,##0.00\ [$€-816]_-;_-* &quot;-&quot;??\ [$€-816]_-;_-@_-"/>
    <numFmt numFmtId="193" formatCode="_-* #,##0.00\ [$€-81D]_-;\-* #,##0.00\ [$€-81D]_-;_-* &quot;-&quot;??\ [$€-81D]_-;_-@_-"/>
    <numFmt numFmtId="194" formatCode="_-* #,##0\ [$€-40C]_-;\-* #,##0\ [$€-40C]_-;_-* &quot;-&quot;\ [$€-40C]_-;_-@_-"/>
    <numFmt numFmtId="195" formatCode="_-[$$-1009]* #,##0.00_-;\-[$$-1009]* #,##0.00_-;_-[$$-1009]* &quot;-&quot;??_-;_-@_-"/>
    <numFmt numFmtId="196" formatCode="[$$-409]#,##0.00_ ;\-[$$-409]#,##0.00\ "/>
    <numFmt numFmtId="197" formatCode="[$$-1009]#,##0.00;\-[$$-1009]#,##0.00"/>
    <numFmt numFmtId="198" formatCode="_-* #,##0.00\ [$€-1]_-;\-* #,##0.00\ [$€-1]_-;_-* &quot;-&quot;??\ [$€-1]_-;_-@_-"/>
    <numFmt numFmtId="199" formatCode="_-* #,##0.00\ [$€-813]_-;\-* #,##0.00\ [$€-813]_-;_-* &quot;-&quot;??\ [$€-813]_-;_-@_-"/>
    <numFmt numFmtId="200" formatCode="#,##0.00_ ;\-#,##0.00\ "/>
    <numFmt numFmtId="201" formatCode="0.0"/>
    <numFmt numFmtId="202" formatCode="#,##0.0_ ;\-#,##0.0\ "/>
    <numFmt numFmtId="203" formatCode="#,##0.00\ [$€-40C]"/>
  </numFmts>
  <fonts count="83">
    <font>
      <sz val="10"/>
      <name val="Arial Cyr"/>
      <family val="0"/>
    </font>
    <font>
      <u val="single"/>
      <sz val="10"/>
      <color indexed="12"/>
      <name val="Arial Cyr"/>
      <family val="0"/>
    </font>
    <font>
      <u val="single"/>
      <sz val="10"/>
      <color indexed="36"/>
      <name val="Arial Cyr"/>
      <family val="0"/>
    </font>
    <font>
      <sz val="8"/>
      <name val="Arial CYR"/>
      <family val="0"/>
    </font>
    <font>
      <sz val="14"/>
      <name val="Times New Roman"/>
      <family val="1"/>
    </font>
    <font>
      <sz val="9"/>
      <name val="Arial Cyr"/>
      <family val="0"/>
    </font>
    <font>
      <b/>
      <i/>
      <sz val="10"/>
      <name val="Arial"/>
      <family val="2"/>
    </font>
    <font>
      <b/>
      <i/>
      <sz val="10"/>
      <name val="Arial Cyr"/>
      <family val="0"/>
    </font>
    <font>
      <b/>
      <i/>
      <sz val="8"/>
      <name val="Arial Cyr"/>
      <family val="0"/>
    </font>
    <font>
      <b/>
      <sz val="10"/>
      <name val="Arial Cyr"/>
      <family val="0"/>
    </font>
    <font>
      <b/>
      <sz val="8"/>
      <name val="Arial Cyr"/>
      <family val="0"/>
    </font>
    <font>
      <b/>
      <sz val="9"/>
      <name val="Arial Cyr"/>
      <family val="0"/>
    </font>
    <font>
      <b/>
      <i/>
      <sz val="10"/>
      <color indexed="55"/>
      <name val="Arial Cyr"/>
      <family val="0"/>
    </font>
    <font>
      <sz val="10"/>
      <color indexed="55"/>
      <name val="Arial Cyr"/>
      <family val="0"/>
    </font>
    <font>
      <sz val="10"/>
      <color indexed="23"/>
      <name val="Arial Cyr"/>
      <family val="0"/>
    </font>
    <font>
      <sz val="10"/>
      <color indexed="10"/>
      <name val="Arial Cyr"/>
      <family val="0"/>
    </font>
    <font>
      <sz val="10"/>
      <color indexed="14"/>
      <name val="Arial Cyr"/>
      <family val="0"/>
    </font>
    <font>
      <sz val="10"/>
      <color indexed="22"/>
      <name val="Arial Cyr"/>
      <family val="0"/>
    </font>
    <font>
      <b/>
      <sz val="10"/>
      <color indexed="16"/>
      <name val="Arial Cyr"/>
      <family val="0"/>
    </font>
    <font>
      <sz val="10"/>
      <color indexed="16"/>
      <name val="Arial Cyr"/>
      <family val="0"/>
    </font>
    <font>
      <sz val="8"/>
      <color indexed="10"/>
      <name val="Arial Cyr"/>
      <family val="0"/>
    </font>
    <font>
      <b/>
      <sz val="10"/>
      <color indexed="19"/>
      <name val="Arial Cyr"/>
      <family val="0"/>
    </font>
    <font>
      <sz val="10"/>
      <color indexed="19"/>
      <name val="Arial Cyr"/>
      <family val="0"/>
    </font>
    <font>
      <sz val="10"/>
      <color indexed="18"/>
      <name val="Arial Cyr"/>
      <family val="0"/>
    </font>
    <font>
      <i/>
      <sz val="10"/>
      <name val="Arial Cyr"/>
      <family val="0"/>
    </font>
    <font>
      <b/>
      <sz val="10"/>
      <color indexed="18"/>
      <name val="Arial Cyr"/>
      <family val="0"/>
    </font>
    <font>
      <sz val="9"/>
      <color indexed="18"/>
      <name val="Arial Cyr"/>
      <family val="0"/>
    </font>
    <font>
      <b/>
      <sz val="10"/>
      <color indexed="62"/>
      <name val="Arial Cyr"/>
      <family val="0"/>
    </font>
    <font>
      <sz val="10"/>
      <color indexed="62"/>
      <name val="Arial Cyr"/>
      <family val="0"/>
    </font>
    <font>
      <b/>
      <sz val="10"/>
      <color indexed="12"/>
      <name val="Arial Cyr"/>
      <family val="0"/>
    </font>
    <font>
      <sz val="10"/>
      <color indexed="12"/>
      <name val="Arial Cyr"/>
      <family val="0"/>
    </font>
    <font>
      <b/>
      <i/>
      <u val="single"/>
      <sz val="10"/>
      <name val="Arial Cyr"/>
      <family val="0"/>
    </font>
    <font>
      <sz val="10"/>
      <color indexed="9"/>
      <name val="Arial Cyr"/>
      <family val="0"/>
    </font>
    <font>
      <u val="single"/>
      <sz val="10"/>
      <name val="Arial Cyr"/>
      <family val="0"/>
    </font>
    <font>
      <b/>
      <sz val="12"/>
      <name val="Arial Cyr"/>
      <family val="0"/>
    </font>
    <font>
      <b/>
      <i/>
      <sz val="11"/>
      <color indexed="60"/>
      <name val="Arial Cyr"/>
      <family val="0"/>
    </font>
    <font>
      <b/>
      <sz val="7"/>
      <name val="Arial Cyr"/>
      <family val="0"/>
    </font>
    <font>
      <sz val="8"/>
      <color indexed="60"/>
      <name val="Arial Cyr"/>
      <family val="0"/>
    </font>
    <font>
      <sz val="8"/>
      <color indexed="23"/>
      <name val="Arial Cyr"/>
      <family val="0"/>
    </font>
    <font>
      <sz val="11"/>
      <color indexed="60"/>
      <name val="Arial Cyr"/>
      <family val="0"/>
    </font>
    <font>
      <b/>
      <i/>
      <sz val="9"/>
      <color indexed="10"/>
      <name val="Arial Cyr"/>
      <family val="0"/>
    </font>
    <font>
      <i/>
      <sz val="6"/>
      <name val="Arial Cyr"/>
      <family val="0"/>
    </font>
    <font>
      <b/>
      <sz val="10"/>
      <color indexed="52"/>
      <name val="Arial Cyr"/>
      <family val="0"/>
    </font>
    <font>
      <b/>
      <sz val="10"/>
      <color indexed="51"/>
      <name val="Arial Cyr"/>
      <family val="0"/>
    </font>
    <font>
      <b/>
      <sz val="9"/>
      <color indexed="18"/>
      <name val="Arial Cyr"/>
      <family val="0"/>
    </font>
    <font>
      <sz val="10"/>
      <color indexed="61"/>
      <name val="Arial Cyr"/>
      <family val="0"/>
    </font>
    <font>
      <sz val="8"/>
      <color indexed="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4"/>
      <color indexed="8"/>
      <name val="Arial"/>
      <family val="0"/>
    </font>
    <font>
      <sz val="10"/>
      <color indexed="8"/>
      <name val="Arial Cyr"/>
      <family val="0"/>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49"/>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gray0625">
        <fgColor indexed="26"/>
        <bgColor indexed="26"/>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double"/>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style="thin"/>
      <top>
        <color indexed="63"/>
      </top>
      <bottom style="thin"/>
    </border>
    <border>
      <left style="thin"/>
      <right style="thin"/>
      <top style="thin"/>
      <bottom>
        <color indexed="63"/>
      </bottom>
    </border>
    <border>
      <left style="thin"/>
      <right style="double"/>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style="thin"/>
      <top style="double"/>
      <bottom style="thin"/>
    </border>
    <border>
      <left style="double"/>
      <right style="thin"/>
      <top>
        <color indexed="63"/>
      </top>
      <bottom>
        <color indexed="63"/>
      </bottom>
    </border>
    <border>
      <left style="double"/>
      <right style="thin"/>
      <top style="thin"/>
      <bottom style="thin"/>
    </border>
    <border>
      <left style="double"/>
      <right style="thin"/>
      <top style="thin"/>
      <bottom>
        <color indexed="63"/>
      </bottom>
    </border>
    <border>
      <left style="thin"/>
      <right style="double"/>
      <top>
        <color indexed="63"/>
      </top>
      <bottom style="thin"/>
    </border>
    <border>
      <left style="double"/>
      <right style="double"/>
      <top style="double"/>
      <bottom style="thin"/>
    </border>
    <border>
      <left>
        <color indexed="63"/>
      </left>
      <right style="double"/>
      <top style="thin"/>
      <bottom style="thin"/>
    </border>
    <border>
      <left>
        <color indexed="63"/>
      </left>
      <right style="double"/>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thin"/>
      <bottom style="thin"/>
    </border>
    <border>
      <left>
        <color indexed="63"/>
      </left>
      <right>
        <color indexed="63"/>
      </right>
      <top style="thin"/>
      <bottom>
        <color indexed="63"/>
      </bottom>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0" fillId="28" borderId="6" applyNumberFormat="0" applyFont="0" applyAlignment="0" applyProtection="0"/>
    <xf numFmtId="0" fontId="74" fillId="0" borderId="7" applyNumberFormat="0" applyFill="0" applyAlignment="0" applyProtection="0"/>
    <xf numFmtId="0" fontId="75" fillId="29" borderId="8" applyNumberFormat="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31" borderId="0" applyNumberFormat="0" applyBorder="0" applyAlignment="0" applyProtection="0"/>
    <xf numFmtId="0" fontId="79"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2" fillId="32" borderId="0" applyNumberFormat="0" applyBorder="0" applyAlignment="0" applyProtection="0"/>
  </cellStyleXfs>
  <cellXfs count="507">
    <xf numFmtId="0" fontId="0" fillId="0" borderId="0" xfId="0" applyAlignment="1">
      <alignment/>
    </xf>
    <xf numFmtId="0" fontId="0" fillId="0" borderId="0" xfId="0" applyAlignment="1" applyProtection="1">
      <alignment horizontal="left"/>
      <protection hidden="1"/>
    </xf>
    <xf numFmtId="0" fontId="3" fillId="0" borderId="0" xfId="0" applyFont="1" applyAlignment="1" applyProtection="1">
      <alignment horizontal="left"/>
      <protection hidden="1"/>
    </xf>
    <xf numFmtId="1" fontId="0" fillId="0" borderId="0" xfId="0" applyNumberFormat="1" applyAlignment="1" applyProtection="1">
      <alignment horizontal="center" vertical="justify"/>
      <protection hidden="1"/>
    </xf>
    <xf numFmtId="0" fontId="0" fillId="0" borderId="0" xfId="0" applyAlignment="1" applyProtection="1">
      <alignment horizontal="right"/>
      <protection hidden="1"/>
    </xf>
    <xf numFmtId="0" fontId="0" fillId="0" borderId="0" xfId="0" applyAlignment="1" applyProtection="1">
      <alignment horizontal="center"/>
      <protection hidden="1"/>
    </xf>
    <xf numFmtId="22" fontId="3" fillId="0" borderId="0" xfId="0" applyNumberFormat="1" applyFont="1" applyAlignment="1" applyProtection="1">
      <alignment horizontal="left"/>
      <protection hidden="1"/>
    </xf>
    <xf numFmtId="177" fontId="0" fillId="0" borderId="0" xfId="0" applyNumberFormat="1" applyAlignment="1" applyProtection="1">
      <alignment horizontal="left"/>
      <protection hidden="1"/>
    </xf>
    <xf numFmtId="1" fontId="0" fillId="0" borderId="0" xfId="43" applyNumberFormat="1" applyAlignment="1" applyProtection="1">
      <alignment horizontal="center" vertical="justify"/>
      <protection hidden="1"/>
    </xf>
    <xf numFmtId="179" fontId="0" fillId="0" borderId="0" xfId="43" applyNumberFormat="1" applyAlignment="1" applyProtection="1">
      <alignment horizontal="left"/>
      <protection hidden="1"/>
    </xf>
    <xf numFmtId="178" fontId="0" fillId="0" borderId="0" xfId="43" applyNumberFormat="1" applyAlignment="1" applyProtection="1">
      <alignment horizontal="left"/>
      <protection hidden="1"/>
    </xf>
    <xf numFmtId="180" fontId="0" fillId="0" borderId="0" xfId="0" applyNumberFormat="1" applyAlignment="1" applyProtection="1">
      <alignment horizontal="left"/>
      <protection hidden="1"/>
    </xf>
    <xf numFmtId="178" fontId="0" fillId="0" borderId="0" xfId="0" applyNumberFormat="1" applyAlignment="1" applyProtection="1">
      <alignment horizontal="right"/>
      <protection hidden="1"/>
    </xf>
    <xf numFmtId="0" fontId="0" fillId="0" borderId="0" xfId="60" applyNumberFormat="1" applyAlignment="1" applyProtection="1">
      <alignment horizontal="center"/>
      <protection hidden="1"/>
    </xf>
    <xf numFmtId="1" fontId="0" fillId="0" borderId="0" xfId="0" applyNumberFormat="1" applyAlignment="1" applyProtection="1">
      <alignment horizontal="left"/>
      <protection hidden="1"/>
    </xf>
    <xf numFmtId="49" fontId="0" fillId="0" borderId="0" xfId="0" applyNumberFormat="1" applyAlignment="1" applyProtection="1">
      <alignment horizontal="left"/>
      <protection hidden="1"/>
    </xf>
    <xf numFmtId="0" fontId="4" fillId="0" borderId="0" xfId="0" applyFont="1" applyAlignment="1" applyProtection="1">
      <alignment horizontal="left"/>
      <protection hidden="1"/>
    </xf>
    <xf numFmtId="49" fontId="0" fillId="33" borderId="0" xfId="0" applyNumberFormat="1" applyFill="1" applyBorder="1" applyAlignment="1" applyProtection="1">
      <alignment horizontal="center"/>
      <protection hidden="1" locked="0"/>
    </xf>
    <xf numFmtId="49" fontId="0" fillId="33" borderId="0" xfId="0" applyNumberFormat="1" applyFill="1" applyBorder="1" applyAlignment="1" applyProtection="1">
      <alignment horizontal="left"/>
      <protection hidden="1" locked="0"/>
    </xf>
    <xf numFmtId="177" fontId="0" fillId="0" borderId="10" xfId="0" applyNumberFormat="1" applyBorder="1" applyAlignment="1" applyProtection="1">
      <alignment horizontal="left"/>
      <protection hidden="1"/>
    </xf>
    <xf numFmtId="1" fontId="0" fillId="0" borderId="11" xfId="43" applyNumberFormat="1" applyBorder="1" applyAlignment="1" applyProtection="1">
      <alignment horizontal="center" vertical="justify"/>
      <protection hidden="1"/>
    </xf>
    <xf numFmtId="179" fontId="0" fillId="0" borderId="11" xfId="43" applyNumberFormat="1" applyBorder="1" applyAlignment="1" applyProtection="1">
      <alignment horizontal="left"/>
      <protection hidden="1"/>
    </xf>
    <xf numFmtId="178" fontId="0" fillId="0" borderId="12" xfId="43" applyNumberFormat="1" applyBorder="1" applyAlignment="1" applyProtection="1">
      <alignment horizontal="left"/>
      <protection hidden="1"/>
    </xf>
    <xf numFmtId="180" fontId="0" fillId="0" borderId="11" xfId="0" applyNumberFormat="1" applyFill="1" applyBorder="1" applyAlignment="1" applyProtection="1">
      <alignment horizontal="left"/>
      <protection hidden="1"/>
    </xf>
    <xf numFmtId="180" fontId="0" fillId="0" borderId="11" xfId="0" applyNumberFormat="1" applyBorder="1" applyAlignment="1" applyProtection="1">
      <alignment horizontal="left"/>
      <protection hidden="1"/>
    </xf>
    <xf numFmtId="1" fontId="5" fillId="0" borderId="0" xfId="0" applyNumberFormat="1" applyFont="1" applyAlignment="1" applyProtection="1">
      <alignment horizontal="right"/>
      <protection hidden="1"/>
    </xf>
    <xf numFmtId="180" fontId="0" fillId="0" borderId="11" xfId="0" applyNumberFormat="1" applyFill="1" applyBorder="1" applyAlignment="1" applyProtection="1">
      <alignment horizontal="left"/>
      <protection hidden="1" locked="0"/>
    </xf>
    <xf numFmtId="2" fontId="3" fillId="34" borderId="0" xfId="0" applyNumberFormat="1" applyFont="1" applyFill="1" applyAlignment="1" applyProtection="1">
      <alignment horizontal="center"/>
      <protection hidden="1" locked="0"/>
    </xf>
    <xf numFmtId="0" fontId="3" fillId="0" borderId="0" xfId="60" applyNumberFormat="1" applyFont="1" applyAlignment="1" applyProtection="1">
      <alignment horizontal="center"/>
      <protection hidden="1"/>
    </xf>
    <xf numFmtId="0" fontId="9" fillId="0" borderId="0" xfId="0" applyFont="1" applyAlignment="1" applyProtection="1">
      <alignment horizontal="left"/>
      <protection hidden="1"/>
    </xf>
    <xf numFmtId="0" fontId="0" fillId="0" borderId="0" xfId="0" applyFont="1" applyAlignment="1" applyProtection="1">
      <alignment horizontal="left"/>
      <protection hidden="1"/>
    </xf>
    <xf numFmtId="180" fontId="0" fillId="0" borderId="0" xfId="0" applyNumberFormat="1" applyBorder="1" applyAlignment="1" applyProtection="1">
      <alignment horizontal="left"/>
      <protection hidden="1"/>
    </xf>
    <xf numFmtId="0" fontId="9" fillId="0" borderId="0" xfId="0" applyFont="1" applyBorder="1" applyAlignment="1" applyProtection="1">
      <alignment horizontal="left"/>
      <protection hidden="1"/>
    </xf>
    <xf numFmtId="0" fontId="0" fillId="0" borderId="0" xfId="0" applyAlignment="1" applyProtection="1">
      <alignment horizontal="right" vertical="center" wrapText="1"/>
      <protection hidden="1"/>
    </xf>
    <xf numFmtId="0" fontId="0" fillId="0" borderId="0" xfId="0" applyAlignment="1" applyProtection="1">
      <alignment horizontal="left" wrapText="1"/>
      <protection hidden="1"/>
    </xf>
    <xf numFmtId="0" fontId="0" fillId="0" borderId="0" xfId="0" applyAlignment="1" applyProtection="1">
      <alignment/>
      <protection hidden="1"/>
    </xf>
    <xf numFmtId="0" fontId="9" fillId="35" borderId="0" xfId="0" applyFont="1" applyFill="1" applyAlignment="1" applyProtection="1">
      <alignment horizontal="left" vertical="top"/>
      <protection hidden="1"/>
    </xf>
    <xf numFmtId="49" fontId="0" fillId="35" borderId="13" xfId="0" applyNumberFormat="1" applyFill="1" applyBorder="1" applyAlignment="1" applyProtection="1">
      <alignment horizontal="left" vertical="top"/>
      <protection hidden="1"/>
    </xf>
    <xf numFmtId="0" fontId="0" fillId="35" borderId="0" xfId="0" applyFont="1" applyFill="1" applyAlignment="1" applyProtection="1">
      <alignment horizontal="left" vertical="top"/>
      <protection hidden="1"/>
    </xf>
    <xf numFmtId="0" fontId="9" fillId="36" borderId="0" xfId="0" applyFont="1" applyFill="1" applyAlignment="1" applyProtection="1">
      <alignment horizontal="left" vertical="top"/>
      <protection hidden="1"/>
    </xf>
    <xf numFmtId="49" fontId="0" fillId="36" borderId="13" xfId="0" applyNumberFormat="1" applyFill="1" applyBorder="1" applyAlignment="1" applyProtection="1">
      <alignment horizontal="left" vertical="top"/>
      <protection hidden="1"/>
    </xf>
    <xf numFmtId="49" fontId="0" fillId="36" borderId="0" xfId="0" applyNumberFormat="1" applyFill="1" applyAlignment="1" applyProtection="1">
      <alignment horizontal="left" vertical="top"/>
      <protection hidden="1"/>
    </xf>
    <xf numFmtId="49" fontId="9" fillId="37" borderId="0" xfId="0" applyNumberFormat="1" applyFont="1" applyFill="1" applyAlignment="1" applyProtection="1">
      <alignment horizontal="left" vertical="top"/>
      <protection hidden="1"/>
    </xf>
    <xf numFmtId="49" fontId="0" fillId="37" borderId="0" xfId="0" applyNumberFormat="1" applyFill="1" applyBorder="1" applyAlignment="1" applyProtection="1">
      <alignment horizontal="left" vertical="top"/>
      <protection hidden="1"/>
    </xf>
    <xf numFmtId="49" fontId="0" fillId="37" borderId="0" xfId="0" applyNumberFormat="1" applyFill="1" applyAlignment="1" applyProtection="1">
      <alignment horizontal="left" vertical="top"/>
      <protection hidden="1"/>
    </xf>
    <xf numFmtId="0" fontId="0" fillId="37" borderId="0" xfId="0" applyFill="1" applyAlignment="1" applyProtection="1">
      <alignment horizontal="left" vertical="top"/>
      <protection hidden="1"/>
    </xf>
    <xf numFmtId="49" fontId="9" fillId="38" borderId="0" xfId="0" applyNumberFormat="1" applyFont="1" applyFill="1" applyAlignment="1" applyProtection="1">
      <alignment horizontal="left" vertical="top"/>
      <protection hidden="1"/>
    </xf>
    <xf numFmtId="49" fontId="0" fillId="38" borderId="0" xfId="0" applyNumberFormat="1" applyFill="1" applyBorder="1" applyAlignment="1" applyProtection="1">
      <alignment horizontal="left" vertical="top"/>
      <protection hidden="1"/>
    </xf>
    <xf numFmtId="49" fontId="0" fillId="38" borderId="0" xfId="0" applyNumberFormat="1" applyFill="1" applyAlignment="1" applyProtection="1">
      <alignment horizontal="left" vertical="top"/>
      <protection hidden="1"/>
    </xf>
    <xf numFmtId="0" fontId="0" fillId="38" borderId="0" xfId="0" applyFill="1" applyAlignment="1" applyProtection="1">
      <alignment horizontal="left" vertical="top"/>
      <protection hidden="1"/>
    </xf>
    <xf numFmtId="49" fontId="9" fillId="39" borderId="0" xfId="0" applyNumberFormat="1" applyFont="1" applyFill="1" applyAlignment="1" applyProtection="1">
      <alignment horizontal="left" vertical="top"/>
      <protection hidden="1"/>
    </xf>
    <xf numFmtId="49" fontId="0" fillId="39" borderId="0" xfId="0" applyNumberFormat="1" applyFill="1" applyAlignment="1" applyProtection="1">
      <alignment horizontal="left" vertical="top"/>
      <protection hidden="1"/>
    </xf>
    <xf numFmtId="49" fontId="9" fillId="0" borderId="0" xfId="0" applyNumberFormat="1" applyFont="1" applyAlignment="1" applyProtection="1">
      <alignment horizontal="left" vertical="top"/>
      <protection hidden="1"/>
    </xf>
    <xf numFmtId="49" fontId="0" fillId="0" borderId="0" xfId="0" applyNumberFormat="1" applyAlignment="1" applyProtection="1">
      <alignment horizontal="left" vertical="top"/>
      <protection hidden="1"/>
    </xf>
    <xf numFmtId="49" fontId="0" fillId="0" borderId="0" xfId="0" applyNumberFormat="1" applyFont="1" applyAlignment="1" applyProtection="1">
      <alignment horizontal="left" vertical="top"/>
      <protection hidden="1"/>
    </xf>
    <xf numFmtId="49" fontId="11" fillId="0" borderId="0" xfId="0" applyNumberFormat="1" applyFont="1" applyAlignment="1" applyProtection="1">
      <alignment horizontal="left" vertical="top"/>
      <protection hidden="1"/>
    </xf>
    <xf numFmtId="49" fontId="9" fillId="34" borderId="0" xfId="0" applyNumberFormat="1" applyFont="1" applyFill="1" applyAlignment="1" applyProtection="1">
      <alignment horizontal="left" vertical="top"/>
      <protection hidden="1"/>
    </xf>
    <xf numFmtId="49" fontId="0" fillId="34" borderId="0" xfId="0" applyNumberFormat="1" applyFont="1" applyFill="1" applyAlignment="1" applyProtection="1">
      <alignment horizontal="left" vertical="top"/>
      <protection hidden="1"/>
    </xf>
    <xf numFmtId="49" fontId="9" fillId="40" borderId="0" xfId="0" applyNumberFormat="1" applyFont="1" applyFill="1" applyAlignment="1" applyProtection="1">
      <alignment horizontal="left" vertical="top"/>
      <protection hidden="1"/>
    </xf>
    <xf numFmtId="49" fontId="0" fillId="40" borderId="0" xfId="0" applyNumberFormat="1" applyFont="1" applyFill="1" applyAlignment="1" applyProtection="1">
      <alignment horizontal="left" vertical="top"/>
      <protection hidden="1"/>
    </xf>
    <xf numFmtId="49" fontId="0" fillId="40" borderId="0" xfId="0" applyNumberFormat="1" applyFill="1" applyAlignment="1" applyProtection="1">
      <alignment horizontal="left" vertical="top"/>
      <protection hidden="1"/>
    </xf>
    <xf numFmtId="0" fontId="0" fillId="40" borderId="0" xfId="0" applyFill="1" applyAlignment="1" applyProtection="1">
      <alignment horizontal="left" vertical="top"/>
      <protection hidden="1"/>
    </xf>
    <xf numFmtId="178" fontId="9" fillId="0" borderId="11" xfId="0" applyNumberFormat="1" applyFont="1" applyBorder="1" applyAlignment="1" applyProtection="1">
      <alignment horizontal="right" vertical="top"/>
      <protection hidden="1"/>
    </xf>
    <xf numFmtId="0" fontId="7" fillId="35" borderId="14" xfId="60" applyNumberFormat="1" applyFont="1" applyFill="1" applyBorder="1" applyAlignment="1" applyProtection="1">
      <alignment horizontal="center" vertical="top"/>
      <protection hidden="1"/>
    </xf>
    <xf numFmtId="177" fontId="9" fillId="39" borderId="0" xfId="43" applyNumberFormat="1" applyFont="1" applyFill="1" applyBorder="1" applyAlignment="1" applyProtection="1">
      <alignment horizontal="left" vertical="top"/>
      <protection hidden="1"/>
    </xf>
    <xf numFmtId="1" fontId="9" fillId="39" borderId="0" xfId="43" applyNumberFormat="1" applyFont="1" applyFill="1" applyAlignment="1" applyProtection="1">
      <alignment horizontal="center" vertical="top"/>
      <protection hidden="1"/>
    </xf>
    <xf numFmtId="179" fontId="9" fillId="39" borderId="0" xfId="43" applyNumberFormat="1" applyFont="1" applyFill="1" applyAlignment="1" applyProtection="1">
      <alignment horizontal="left" vertical="top"/>
      <protection hidden="1"/>
    </xf>
    <xf numFmtId="180" fontId="9" fillId="0" borderId="15" xfId="0" applyNumberFormat="1" applyFont="1" applyBorder="1" applyAlignment="1" applyProtection="1">
      <alignment horizontal="left" vertical="top"/>
      <protection hidden="1"/>
    </xf>
    <xf numFmtId="170" fontId="9" fillId="0" borderId="15" xfId="0" applyNumberFormat="1" applyFont="1" applyBorder="1" applyAlignment="1" applyProtection="1">
      <alignment horizontal="left" vertical="top"/>
      <protection hidden="1"/>
    </xf>
    <xf numFmtId="49" fontId="9" fillId="39" borderId="0" xfId="0" applyNumberFormat="1" applyFont="1" applyFill="1" applyBorder="1" applyAlignment="1" applyProtection="1">
      <alignment horizontal="left" vertical="top"/>
      <protection hidden="1"/>
    </xf>
    <xf numFmtId="49" fontId="9" fillId="39" borderId="13" xfId="0" applyNumberFormat="1" applyFont="1" applyFill="1" applyBorder="1" applyAlignment="1" applyProtection="1">
      <alignment horizontal="left" vertical="top"/>
      <protection hidden="1"/>
    </xf>
    <xf numFmtId="180" fontId="9" fillId="0" borderId="11" xfId="0" applyNumberFormat="1" applyFont="1" applyBorder="1" applyAlignment="1" applyProtection="1">
      <alignment horizontal="left" vertical="top"/>
      <protection hidden="1"/>
    </xf>
    <xf numFmtId="49" fontId="0" fillId="39" borderId="13" xfId="0" applyNumberFormat="1" applyFill="1" applyBorder="1" applyAlignment="1" applyProtection="1">
      <alignment horizontal="left" vertical="top"/>
      <protection hidden="1"/>
    </xf>
    <xf numFmtId="49" fontId="0" fillId="39" borderId="16" xfId="0" applyNumberFormat="1" applyFill="1" applyBorder="1" applyAlignment="1" applyProtection="1">
      <alignment horizontal="left" vertical="top"/>
      <protection hidden="1"/>
    </xf>
    <xf numFmtId="177" fontId="0" fillId="39" borderId="0" xfId="0" applyNumberFormat="1" applyFill="1" applyBorder="1" applyAlignment="1" applyProtection="1">
      <alignment horizontal="left" vertical="top"/>
      <protection hidden="1"/>
    </xf>
    <xf numFmtId="1" fontId="0" fillId="39" borderId="0" xfId="60" applyNumberFormat="1" applyFill="1" applyBorder="1" applyAlignment="1" applyProtection="1">
      <alignment horizontal="center" vertical="top"/>
      <protection hidden="1"/>
    </xf>
    <xf numFmtId="179" fontId="0" fillId="39" borderId="0" xfId="60" applyNumberFormat="1" applyFill="1" applyBorder="1" applyAlignment="1" applyProtection="1">
      <alignment horizontal="left" vertical="top"/>
      <protection hidden="1"/>
    </xf>
    <xf numFmtId="177" fontId="0" fillId="39" borderId="0" xfId="0" applyNumberFormat="1" applyFill="1" applyAlignment="1" applyProtection="1">
      <alignment horizontal="left" vertical="top"/>
      <protection hidden="1"/>
    </xf>
    <xf numFmtId="1" fontId="0" fillId="39" borderId="0" xfId="43" applyNumberFormat="1" applyFill="1" applyBorder="1" applyAlignment="1" applyProtection="1">
      <alignment horizontal="center" vertical="top"/>
      <protection hidden="1"/>
    </xf>
    <xf numFmtId="179" fontId="0" fillId="39" borderId="0" xfId="43" applyNumberFormat="1" applyFill="1" applyBorder="1" applyAlignment="1" applyProtection="1">
      <alignment horizontal="left" vertical="top"/>
      <protection hidden="1"/>
    </xf>
    <xf numFmtId="180" fontId="0" fillId="0" borderId="15" xfId="0" applyNumberFormat="1" applyBorder="1" applyAlignment="1" applyProtection="1">
      <alignment horizontal="left" vertical="top"/>
      <protection hidden="1"/>
    </xf>
    <xf numFmtId="49" fontId="9" fillId="35" borderId="0" xfId="0" applyNumberFormat="1" applyFont="1" applyFill="1" applyAlignment="1" applyProtection="1">
      <alignment horizontal="left" vertical="top"/>
      <protection hidden="1"/>
    </xf>
    <xf numFmtId="177" fontId="9" fillId="35" borderId="0" xfId="0" applyNumberFormat="1" applyFont="1" applyFill="1" applyAlignment="1" applyProtection="1">
      <alignment horizontal="left" vertical="top"/>
      <protection hidden="1"/>
    </xf>
    <xf numFmtId="1" fontId="9" fillId="35" borderId="0" xfId="43" applyNumberFormat="1" applyFont="1" applyFill="1" applyBorder="1" applyAlignment="1" applyProtection="1">
      <alignment horizontal="center" vertical="top"/>
      <protection hidden="1"/>
    </xf>
    <xf numFmtId="179" fontId="9" fillId="35" borderId="0" xfId="43" applyNumberFormat="1" applyFont="1" applyFill="1" applyBorder="1" applyAlignment="1" applyProtection="1">
      <alignment horizontal="left" vertical="top"/>
      <protection hidden="1"/>
    </xf>
    <xf numFmtId="49" fontId="0" fillId="35" borderId="16" xfId="0" applyNumberFormat="1" applyFont="1" applyFill="1" applyBorder="1" applyAlignment="1" applyProtection="1">
      <alignment horizontal="left" vertical="top" wrapText="1"/>
      <protection hidden="1"/>
    </xf>
    <xf numFmtId="49" fontId="0" fillId="35" borderId="0" xfId="0" applyNumberFormat="1" applyFont="1" applyFill="1" applyAlignment="1" applyProtection="1">
      <alignment horizontal="left" vertical="top"/>
      <protection hidden="1"/>
    </xf>
    <xf numFmtId="177" fontId="0" fillId="35" borderId="0" xfId="0" applyNumberFormat="1" applyFont="1" applyFill="1" applyAlignment="1" applyProtection="1">
      <alignment horizontal="left" vertical="top"/>
      <protection hidden="1"/>
    </xf>
    <xf numFmtId="49" fontId="9" fillId="36" borderId="16" xfId="0" applyNumberFormat="1" applyFont="1" applyFill="1" applyBorder="1" applyAlignment="1" applyProtection="1">
      <alignment horizontal="left" vertical="top" wrapText="1"/>
      <protection hidden="1"/>
    </xf>
    <xf numFmtId="49" fontId="9" fillId="36" borderId="0" xfId="0" applyNumberFormat="1" applyFont="1" applyFill="1" applyAlignment="1" applyProtection="1">
      <alignment horizontal="left" vertical="top"/>
      <protection hidden="1"/>
    </xf>
    <xf numFmtId="177" fontId="9" fillId="36" borderId="0" xfId="0" applyNumberFormat="1" applyFont="1" applyFill="1" applyAlignment="1" applyProtection="1">
      <alignment horizontal="left" vertical="top"/>
      <protection hidden="1"/>
    </xf>
    <xf numFmtId="1" fontId="9" fillId="36" borderId="0" xfId="43" applyNumberFormat="1" applyFont="1" applyFill="1" applyBorder="1" applyAlignment="1" applyProtection="1">
      <alignment horizontal="center" vertical="top"/>
      <protection hidden="1"/>
    </xf>
    <xf numFmtId="179" fontId="9" fillId="36" borderId="0" xfId="43" applyNumberFormat="1" applyFont="1" applyFill="1" applyBorder="1" applyAlignment="1" applyProtection="1">
      <alignment horizontal="left" vertical="top"/>
      <protection hidden="1"/>
    </xf>
    <xf numFmtId="49" fontId="5" fillId="36" borderId="16" xfId="0" applyNumberFormat="1" applyFont="1" applyFill="1" applyBorder="1" applyAlignment="1" applyProtection="1">
      <alignment horizontal="left" vertical="top" wrapText="1"/>
      <protection hidden="1"/>
    </xf>
    <xf numFmtId="49" fontId="5" fillId="36" borderId="0" xfId="0" applyNumberFormat="1" applyFont="1" applyFill="1" applyAlignment="1" applyProtection="1">
      <alignment horizontal="left" vertical="top"/>
      <protection hidden="1"/>
    </xf>
    <xf numFmtId="177" fontId="0" fillId="36" borderId="0" xfId="0" applyNumberFormat="1" applyFill="1" applyAlignment="1" applyProtection="1">
      <alignment horizontal="left" vertical="top"/>
      <protection hidden="1"/>
    </xf>
    <xf numFmtId="1" fontId="0" fillId="36" borderId="0" xfId="43" applyNumberFormat="1" applyFill="1" applyBorder="1" applyAlignment="1" applyProtection="1">
      <alignment horizontal="center" vertical="top"/>
      <protection hidden="1"/>
    </xf>
    <xf numFmtId="179" fontId="0" fillId="36" borderId="0" xfId="43" applyNumberFormat="1" applyFill="1" applyBorder="1" applyAlignment="1" applyProtection="1">
      <alignment horizontal="left" vertical="top"/>
      <protection hidden="1"/>
    </xf>
    <xf numFmtId="49" fontId="9" fillId="37" borderId="16" xfId="0" applyNumberFormat="1" applyFont="1" applyFill="1" applyBorder="1" applyAlignment="1" applyProtection="1">
      <alignment horizontal="left" vertical="top"/>
      <protection hidden="1"/>
    </xf>
    <xf numFmtId="177" fontId="9" fillId="37" borderId="0" xfId="0" applyNumberFormat="1" applyFont="1" applyFill="1" applyAlignment="1" applyProtection="1">
      <alignment horizontal="left" vertical="top"/>
      <protection hidden="1"/>
    </xf>
    <xf numFmtId="1" fontId="9" fillId="37" borderId="0" xfId="43" applyNumberFormat="1" applyFont="1" applyFill="1" applyAlignment="1" applyProtection="1">
      <alignment horizontal="center" vertical="top"/>
      <protection hidden="1"/>
    </xf>
    <xf numFmtId="179" fontId="9" fillId="37" borderId="0" xfId="43" applyNumberFormat="1" applyFont="1" applyFill="1" applyAlignment="1" applyProtection="1">
      <alignment horizontal="left" vertical="top"/>
      <protection hidden="1"/>
    </xf>
    <xf numFmtId="49" fontId="0" fillId="37" borderId="16" xfId="0" applyNumberFormat="1" applyFill="1" applyBorder="1" applyAlignment="1" applyProtection="1">
      <alignment horizontal="left" vertical="top"/>
      <protection hidden="1"/>
    </xf>
    <xf numFmtId="177" fontId="0" fillId="37" borderId="0" xfId="0" applyNumberFormat="1" applyFill="1" applyAlignment="1" applyProtection="1">
      <alignment horizontal="left" vertical="top"/>
      <protection hidden="1"/>
    </xf>
    <xf numFmtId="1" fontId="0" fillId="37" borderId="0" xfId="43" applyNumberFormat="1" applyFill="1" applyAlignment="1" applyProtection="1">
      <alignment horizontal="center" vertical="top"/>
      <protection hidden="1"/>
    </xf>
    <xf numFmtId="179" fontId="0" fillId="37" borderId="0" xfId="43" applyNumberFormat="1" applyFill="1" applyAlignment="1" applyProtection="1">
      <alignment horizontal="left" vertical="top"/>
      <protection hidden="1"/>
    </xf>
    <xf numFmtId="49" fontId="0" fillId="37" borderId="13" xfId="0" applyNumberFormat="1" applyFill="1" applyBorder="1" applyAlignment="1" applyProtection="1">
      <alignment horizontal="left" vertical="top"/>
      <protection hidden="1"/>
    </xf>
    <xf numFmtId="1" fontId="0" fillId="37" borderId="0" xfId="0" applyNumberFormat="1" applyFill="1" applyAlignment="1" applyProtection="1">
      <alignment horizontal="center" vertical="top"/>
      <protection hidden="1"/>
    </xf>
    <xf numFmtId="49" fontId="9" fillId="38" borderId="16" xfId="0" applyNumberFormat="1" applyFont="1" applyFill="1" applyBorder="1" applyAlignment="1" applyProtection="1">
      <alignment horizontal="left" vertical="top"/>
      <protection hidden="1"/>
    </xf>
    <xf numFmtId="177" fontId="9" fillId="38" borderId="0" xfId="0" applyNumberFormat="1" applyFont="1" applyFill="1" applyAlignment="1" applyProtection="1">
      <alignment horizontal="left" vertical="top"/>
      <protection hidden="1"/>
    </xf>
    <xf numFmtId="1" fontId="9" fillId="38" borderId="0" xfId="43" applyNumberFormat="1" applyFont="1" applyFill="1" applyAlignment="1" applyProtection="1">
      <alignment horizontal="center" vertical="top"/>
      <protection hidden="1"/>
    </xf>
    <xf numFmtId="179" fontId="9" fillId="38" borderId="0" xfId="43" applyNumberFormat="1" applyFont="1" applyFill="1" applyAlignment="1" applyProtection="1">
      <alignment horizontal="left" vertical="top"/>
      <protection hidden="1"/>
    </xf>
    <xf numFmtId="49" fontId="0" fillId="38" borderId="16" xfId="0" applyNumberFormat="1" applyFill="1" applyBorder="1" applyAlignment="1" applyProtection="1">
      <alignment horizontal="left" vertical="top"/>
      <protection hidden="1"/>
    </xf>
    <xf numFmtId="177" fontId="0" fillId="38" borderId="0" xfId="0" applyNumberFormat="1" applyFill="1" applyAlignment="1" applyProtection="1">
      <alignment horizontal="left" vertical="top"/>
      <protection hidden="1"/>
    </xf>
    <xf numFmtId="1" fontId="0" fillId="38" borderId="0" xfId="43" applyNumberFormat="1" applyFill="1" applyAlignment="1" applyProtection="1">
      <alignment horizontal="center" vertical="top"/>
      <protection hidden="1"/>
    </xf>
    <xf numFmtId="179" fontId="0" fillId="38" borderId="0" xfId="43" applyNumberFormat="1" applyFill="1" applyAlignment="1" applyProtection="1">
      <alignment horizontal="left" vertical="top"/>
      <protection hidden="1"/>
    </xf>
    <xf numFmtId="49" fontId="0" fillId="38" borderId="13" xfId="0" applyNumberFormat="1" applyFill="1" applyBorder="1" applyAlignment="1" applyProtection="1">
      <alignment horizontal="left" vertical="top"/>
      <protection hidden="1"/>
    </xf>
    <xf numFmtId="1" fontId="0" fillId="38" borderId="0" xfId="0" applyNumberFormat="1" applyFill="1" applyAlignment="1" applyProtection="1">
      <alignment horizontal="center" vertical="top"/>
      <protection hidden="1"/>
    </xf>
    <xf numFmtId="177" fontId="9" fillId="39" borderId="0" xfId="0" applyNumberFormat="1" applyFont="1" applyFill="1" applyAlignment="1" applyProtection="1">
      <alignment horizontal="left" vertical="top"/>
      <protection hidden="1"/>
    </xf>
    <xf numFmtId="1" fontId="0" fillId="39" borderId="0" xfId="43" applyNumberFormat="1" applyFill="1" applyAlignment="1" applyProtection="1">
      <alignment horizontal="center" vertical="top"/>
      <protection hidden="1"/>
    </xf>
    <xf numFmtId="179" fontId="0" fillId="39" borderId="0" xfId="43" applyNumberFormat="1" applyFill="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177" fontId="9" fillId="0" borderId="0" xfId="0" applyNumberFormat="1" applyFont="1" applyAlignment="1" applyProtection="1">
      <alignment horizontal="left" vertical="top"/>
      <protection hidden="1"/>
    </xf>
    <xf numFmtId="1" fontId="9" fillId="0" borderId="0" xfId="43" applyNumberFormat="1" applyFont="1" applyAlignment="1" applyProtection="1">
      <alignment horizontal="center" vertical="top"/>
      <protection hidden="1"/>
    </xf>
    <xf numFmtId="179" fontId="9" fillId="0" borderId="0" xfId="43" applyNumberFormat="1" applyFont="1" applyAlignment="1" applyProtection="1">
      <alignment horizontal="left" vertical="top"/>
      <protection hidden="1"/>
    </xf>
    <xf numFmtId="49" fontId="0" fillId="0" borderId="16" xfId="0" applyNumberFormat="1" applyFill="1" applyBorder="1" applyAlignment="1" applyProtection="1">
      <alignment horizontal="left" vertical="top"/>
      <protection hidden="1"/>
    </xf>
    <xf numFmtId="177" fontId="0" fillId="0" borderId="0" xfId="0" applyNumberFormat="1" applyAlignment="1" applyProtection="1">
      <alignment horizontal="left" vertical="top"/>
      <protection hidden="1"/>
    </xf>
    <xf numFmtId="1" fontId="0" fillId="0" borderId="0" xfId="43" applyNumberFormat="1" applyAlignment="1" applyProtection="1">
      <alignment horizontal="center" vertical="top"/>
      <protection hidden="1"/>
    </xf>
    <xf numFmtId="179" fontId="0" fillId="0" borderId="0" xfId="43" applyNumberFormat="1" applyAlignment="1" applyProtection="1">
      <alignment horizontal="left" vertical="top"/>
      <protection hidden="1"/>
    </xf>
    <xf numFmtId="49" fontId="10" fillId="0" borderId="16" xfId="0" applyNumberFormat="1" applyFont="1" applyFill="1" applyBorder="1" applyAlignment="1" applyProtection="1">
      <alignment horizontal="left" vertical="top"/>
      <protection hidden="1"/>
    </xf>
    <xf numFmtId="49" fontId="9" fillId="0" borderId="0" xfId="0" applyNumberFormat="1" applyFont="1" applyFill="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0" fillId="0" borderId="0" xfId="0" applyNumberFormat="1" applyFill="1" applyBorder="1" applyAlignment="1" applyProtection="1">
      <alignment horizontal="left" vertical="top"/>
      <protection hidden="1"/>
    </xf>
    <xf numFmtId="49" fontId="0" fillId="0" borderId="13" xfId="0" applyNumberFormat="1" applyBorder="1" applyAlignment="1" applyProtection="1">
      <alignment horizontal="left" vertical="top"/>
      <protection hidden="1"/>
    </xf>
    <xf numFmtId="49" fontId="9" fillId="34" borderId="16" xfId="0" applyNumberFormat="1" applyFont="1" applyFill="1" applyBorder="1" applyAlignment="1" applyProtection="1">
      <alignment horizontal="left" vertical="top"/>
      <protection hidden="1"/>
    </xf>
    <xf numFmtId="177" fontId="9" fillId="34" borderId="0" xfId="0" applyNumberFormat="1" applyFont="1" applyFill="1" applyAlignment="1" applyProtection="1">
      <alignment horizontal="left" vertical="top"/>
      <protection hidden="1"/>
    </xf>
    <xf numFmtId="1" fontId="9" fillId="34" borderId="0" xfId="43" applyNumberFormat="1" applyFont="1" applyFill="1" applyAlignment="1" applyProtection="1">
      <alignment horizontal="center" vertical="top"/>
      <protection hidden="1"/>
    </xf>
    <xf numFmtId="179" fontId="9" fillId="34" borderId="0" xfId="43" applyNumberFormat="1" applyFont="1" applyFill="1" applyAlignment="1" applyProtection="1">
      <alignment horizontal="left" vertical="top"/>
      <protection hidden="1"/>
    </xf>
    <xf numFmtId="178" fontId="7" fillId="34" borderId="11" xfId="0" applyNumberFormat="1" applyFont="1" applyFill="1" applyBorder="1" applyAlignment="1" applyProtection="1">
      <alignment horizontal="right" vertical="top"/>
      <protection hidden="1"/>
    </xf>
    <xf numFmtId="180" fontId="0" fillId="34" borderId="15" xfId="0" applyNumberFormat="1" applyFill="1" applyBorder="1" applyAlignment="1" applyProtection="1">
      <alignment horizontal="left" vertical="top"/>
      <protection hidden="1"/>
    </xf>
    <xf numFmtId="49" fontId="0" fillId="34" borderId="16" xfId="0" applyNumberFormat="1" applyFont="1" applyFill="1" applyBorder="1" applyAlignment="1" applyProtection="1">
      <alignment horizontal="left" vertical="top"/>
      <protection hidden="1"/>
    </xf>
    <xf numFmtId="177" fontId="0" fillId="34" borderId="0" xfId="0" applyNumberFormat="1" applyFont="1" applyFill="1" applyAlignment="1" applyProtection="1">
      <alignment horizontal="left" vertical="top"/>
      <protection hidden="1"/>
    </xf>
    <xf numFmtId="1" fontId="0" fillId="34" borderId="0" xfId="43" applyNumberFormat="1" applyFont="1" applyFill="1" applyAlignment="1" applyProtection="1">
      <alignment horizontal="center" vertical="top"/>
      <protection hidden="1"/>
    </xf>
    <xf numFmtId="179" fontId="0" fillId="34" borderId="0" xfId="43" applyNumberFormat="1" applyFont="1" applyFill="1" applyAlignment="1" applyProtection="1">
      <alignment horizontal="left" vertical="top"/>
      <protection hidden="1"/>
    </xf>
    <xf numFmtId="180" fontId="0" fillId="34" borderId="15" xfId="0" applyNumberFormat="1" applyFont="1" applyFill="1" applyBorder="1" applyAlignment="1" applyProtection="1">
      <alignment horizontal="left" vertical="top"/>
      <protection hidden="1"/>
    </xf>
    <xf numFmtId="49" fontId="9" fillId="40" borderId="16" xfId="0" applyNumberFormat="1" applyFont="1" applyFill="1" applyBorder="1" applyAlignment="1" applyProtection="1">
      <alignment horizontal="left" vertical="top"/>
      <protection hidden="1"/>
    </xf>
    <xf numFmtId="177" fontId="9" fillId="40" borderId="0" xfId="0" applyNumberFormat="1" applyFont="1" applyFill="1" applyAlignment="1" applyProtection="1">
      <alignment horizontal="left" vertical="top"/>
      <protection hidden="1"/>
    </xf>
    <xf numFmtId="1" fontId="9" fillId="40" borderId="0" xfId="43" applyNumberFormat="1" applyFont="1" applyFill="1" applyAlignment="1" applyProtection="1">
      <alignment horizontal="center" vertical="top"/>
      <protection hidden="1"/>
    </xf>
    <xf numFmtId="179" fontId="9" fillId="40" borderId="0" xfId="43" applyNumberFormat="1" applyFont="1" applyFill="1" applyAlignment="1" applyProtection="1">
      <alignment horizontal="left" vertical="top"/>
      <protection hidden="1"/>
    </xf>
    <xf numFmtId="180" fontId="0" fillId="40" borderId="15" xfId="0" applyNumberFormat="1" applyFill="1" applyBorder="1" applyAlignment="1" applyProtection="1">
      <alignment horizontal="left" vertical="top"/>
      <protection hidden="1"/>
    </xf>
    <xf numFmtId="49" fontId="0" fillId="40" borderId="16" xfId="0" applyNumberFormat="1" applyFont="1" applyFill="1" applyBorder="1" applyAlignment="1" applyProtection="1">
      <alignment horizontal="left" vertical="top"/>
      <protection hidden="1"/>
    </xf>
    <xf numFmtId="177" fontId="0" fillId="40" borderId="0" xfId="0" applyNumberFormat="1" applyFont="1" applyFill="1" applyAlignment="1" applyProtection="1">
      <alignment horizontal="left" vertical="top"/>
      <protection hidden="1"/>
    </xf>
    <xf numFmtId="1" fontId="0" fillId="40" borderId="0" xfId="43" applyNumberFormat="1" applyFont="1" applyFill="1" applyAlignment="1" applyProtection="1">
      <alignment horizontal="center" vertical="top"/>
      <protection hidden="1"/>
    </xf>
    <xf numFmtId="179" fontId="0" fillId="40" borderId="0" xfId="43" applyNumberFormat="1" applyFont="1" applyFill="1" applyAlignment="1" applyProtection="1">
      <alignment horizontal="left" vertical="top"/>
      <protection hidden="1"/>
    </xf>
    <xf numFmtId="177" fontId="0" fillId="40" borderId="0" xfId="0" applyNumberFormat="1" applyFill="1" applyAlignment="1" applyProtection="1">
      <alignment horizontal="left" vertical="top"/>
      <protection hidden="1"/>
    </xf>
    <xf numFmtId="1" fontId="0" fillId="40" borderId="0" xfId="43" applyNumberFormat="1" applyFill="1" applyAlignment="1" applyProtection="1">
      <alignment horizontal="center" vertical="top"/>
      <protection hidden="1"/>
    </xf>
    <xf numFmtId="179" fontId="0" fillId="40" borderId="0" xfId="43" applyNumberFormat="1" applyFill="1" applyAlignment="1" applyProtection="1">
      <alignment horizontal="left" vertical="top"/>
      <protection hidden="1"/>
    </xf>
    <xf numFmtId="1" fontId="0" fillId="40" borderId="0" xfId="0" applyNumberFormat="1" applyFill="1" applyAlignment="1" applyProtection="1">
      <alignment horizontal="center" vertical="top"/>
      <protection hidden="1"/>
    </xf>
    <xf numFmtId="49" fontId="0" fillId="0" borderId="17" xfId="0" applyNumberFormat="1" applyBorder="1" applyAlignment="1" applyProtection="1" quotePrefix="1">
      <alignment horizontal="center" vertical="top"/>
      <protection hidden="1"/>
    </xf>
    <xf numFmtId="1" fontId="0" fillId="0" borderId="17" xfId="0" applyNumberFormat="1" applyBorder="1" applyAlignment="1" applyProtection="1" quotePrefix="1">
      <alignment horizontal="center" vertical="top"/>
      <protection hidden="1"/>
    </xf>
    <xf numFmtId="1" fontId="0" fillId="0" borderId="17" xfId="0" applyNumberFormat="1" applyBorder="1" applyAlignment="1" applyProtection="1" quotePrefix="1">
      <alignment horizontal="right" vertical="top"/>
      <protection hidden="1"/>
    </xf>
    <xf numFmtId="178" fontId="0" fillId="0" borderId="0" xfId="43" applyNumberFormat="1" applyAlignment="1" applyProtection="1">
      <alignment horizontal="left" vertical="top"/>
      <protection hidden="1"/>
    </xf>
    <xf numFmtId="1" fontId="0" fillId="0" borderId="0" xfId="0" applyNumberFormat="1" applyAlignment="1" applyProtection="1">
      <alignment horizontal="left" vertical="top"/>
      <protection hidden="1"/>
    </xf>
    <xf numFmtId="180" fontId="12" fillId="0" borderId="0" xfId="0" applyNumberFormat="1" applyFont="1" applyAlignment="1" applyProtection="1">
      <alignment horizontal="left" vertical="top"/>
      <protection hidden="1"/>
    </xf>
    <xf numFmtId="178" fontId="0" fillId="0" borderId="0" xfId="0" applyNumberFormat="1" applyAlignment="1" applyProtection="1">
      <alignment horizontal="right" vertical="top"/>
      <protection hidden="1"/>
    </xf>
    <xf numFmtId="49" fontId="0" fillId="0" borderId="0" xfId="60" applyNumberFormat="1" applyFont="1" applyAlignment="1" applyProtection="1">
      <alignment horizontal="center" vertical="top"/>
      <protection hidden="1"/>
    </xf>
    <xf numFmtId="199" fontId="7" fillId="0" borderId="0" xfId="0" applyNumberFormat="1" applyFont="1" applyAlignment="1" applyProtection="1">
      <alignment horizontal="left" vertical="top"/>
      <protection hidden="1"/>
    </xf>
    <xf numFmtId="0" fontId="0" fillId="0" borderId="0" xfId="0" applyAlignment="1" applyProtection="1">
      <alignment horizontal="left" vertical="top"/>
      <protection hidden="1"/>
    </xf>
    <xf numFmtId="180" fontId="0" fillId="0" borderId="0" xfId="0" applyNumberFormat="1" applyAlignment="1" applyProtection="1">
      <alignment horizontal="left" vertical="top"/>
      <protection hidden="1"/>
    </xf>
    <xf numFmtId="178" fontId="0" fillId="0" borderId="0" xfId="0" applyNumberFormat="1" applyAlignment="1" applyProtection="1">
      <alignment horizontal="left" vertical="top"/>
      <protection hidden="1"/>
    </xf>
    <xf numFmtId="180" fontId="13" fillId="0" borderId="0" xfId="0" applyNumberFormat="1" applyFont="1" applyAlignment="1" applyProtection="1">
      <alignment horizontal="left" vertical="top"/>
      <protection hidden="1"/>
    </xf>
    <xf numFmtId="170" fontId="13" fillId="0" borderId="0" xfId="0" applyNumberFormat="1" applyFont="1" applyAlignment="1" applyProtection="1">
      <alignment horizontal="left" vertical="top"/>
      <protection hidden="1"/>
    </xf>
    <xf numFmtId="170" fontId="0" fillId="0" borderId="0" xfId="0" applyNumberFormat="1" applyAlignment="1" applyProtection="1">
      <alignment horizontal="left" vertical="top"/>
      <protection hidden="1"/>
    </xf>
    <xf numFmtId="1" fontId="0" fillId="0" borderId="0" xfId="0" applyNumberFormat="1" applyBorder="1" applyAlignment="1" applyProtection="1">
      <alignment horizontal="left" vertical="top"/>
      <protection hidden="1"/>
    </xf>
    <xf numFmtId="170" fontId="0" fillId="0" borderId="0" xfId="0" applyNumberFormat="1" applyBorder="1" applyAlignment="1" applyProtection="1">
      <alignment horizontal="left" vertical="top"/>
      <protection hidden="1"/>
    </xf>
    <xf numFmtId="170" fontId="14" fillId="33" borderId="0" xfId="0" applyNumberFormat="1" applyFont="1" applyFill="1" applyBorder="1" applyAlignment="1" applyProtection="1">
      <alignment horizontal="left" vertical="top"/>
      <protection hidden="1" locked="0"/>
    </xf>
    <xf numFmtId="170" fontId="15" fillId="39" borderId="0" xfId="0" applyNumberFormat="1" applyFont="1" applyFill="1" applyBorder="1" applyAlignment="1" applyProtection="1">
      <alignment horizontal="left" vertical="top"/>
      <protection hidden="1"/>
    </xf>
    <xf numFmtId="179" fontId="16" fillId="0" borderId="0" xfId="0" applyNumberFormat="1" applyFont="1" applyFill="1" applyAlignment="1" applyProtection="1">
      <alignment horizontal="left" vertical="top"/>
      <protection hidden="1"/>
    </xf>
    <xf numFmtId="180" fontId="0" fillId="0" borderId="0" xfId="0" applyNumberFormat="1" applyAlignment="1" applyProtection="1">
      <alignment horizontal="right" vertical="top"/>
      <protection hidden="1"/>
    </xf>
    <xf numFmtId="178" fontId="0" fillId="0" borderId="0" xfId="0" applyNumberFormat="1" applyAlignment="1" applyProtection="1">
      <alignment horizontal="center" vertical="top"/>
      <protection hidden="1"/>
    </xf>
    <xf numFmtId="0" fontId="1" fillId="0" borderId="0" xfId="42" applyAlignment="1" applyProtection="1">
      <alignment horizontal="left"/>
      <protection hidden="1"/>
    </xf>
    <xf numFmtId="49" fontId="0" fillId="40" borderId="16" xfId="0" applyNumberFormat="1" applyFill="1" applyBorder="1" applyAlignment="1" applyProtection="1">
      <alignment horizontal="left" vertical="top"/>
      <protection hidden="1"/>
    </xf>
    <xf numFmtId="0" fontId="9" fillId="36" borderId="11" xfId="0" applyFont="1" applyFill="1" applyBorder="1" applyAlignment="1" applyProtection="1">
      <alignment horizontal="left" vertical="top"/>
      <protection hidden="1"/>
    </xf>
    <xf numFmtId="49" fontId="9" fillId="36" borderId="11" xfId="0" applyNumberFormat="1" applyFont="1" applyFill="1" applyBorder="1" applyAlignment="1" applyProtection="1">
      <alignment horizontal="left" vertical="top" wrapText="1"/>
      <protection hidden="1"/>
    </xf>
    <xf numFmtId="49" fontId="10" fillId="37" borderId="11" xfId="0" applyNumberFormat="1" applyFont="1" applyFill="1" applyBorder="1" applyAlignment="1" applyProtection="1">
      <alignment horizontal="left" vertical="top"/>
      <protection hidden="1"/>
    </xf>
    <xf numFmtId="49" fontId="9" fillId="40" borderId="11" xfId="0" applyNumberFormat="1" applyFont="1" applyFill="1" applyBorder="1" applyAlignment="1" applyProtection="1">
      <alignment horizontal="left" vertical="top"/>
      <protection hidden="1"/>
    </xf>
    <xf numFmtId="178" fontId="9" fillId="0" borderId="18" xfId="0" applyNumberFormat="1" applyFont="1" applyBorder="1" applyAlignment="1" applyProtection="1">
      <alignment horizontal="right" vertical="top"/>
      <protection hidden="1"/>
    </xf>
    <xf numFmtId="0" fontId="9" fillId="36" borderId="19" xfId="0" applyFont="1" applyFill="1" applyBorder="1" applyAlignment="1" applyProtection="1">
      <alignment horizontal="left" vertical="top"/>
      <protection hidden="1"/>
    </xf>
    <xf numFmtId="0" fontId="9" fillId="36" borderId="18" xfId="0" applyFont="1" applyFill="1" applyBorder="1" applyAlignment="1" applyProtection="1">
      <alignment horizontal="left" vertical="top"/>
      <protection hidden="1"/>
    </xf>
    <xf numFmtId="49" fontId="9" fillId="0" borderId="19" xfId="0" applyNumberFormat="1" applyFont="1" applyBorder="1" applyAlignment="1" applyProtection="1">
      <alignment horizontal="left" vertical="top"/>
      <protection hidden="1"/>
    </xf>
    <xf numFmtId="49" fontId="9" fillId="40" borderId="19" xfId="0" applyNumberFormat="1" applyFont="1" applyFill="1" applyBorder="1" applyAlignment="1" applyProtection="1">
      <alignment horizontal="left" vertical="top"/>
      <protection hidden="1"/>
    </xf>
    <xf numFmtId="49" fontId="9" fillId="36" borderId="19" xfId="0" applyNumberFormat="1" applyFont="1" applyFill="1" applyBorder="1" applyAlignment="1" applyProtection="1">
      <alignment horizontal="left" vertical="top" wrapText="1"/>
      <protection hidden="1"/>
    </xf>
    <xf numFmtId="49" fontId="9" fillId="36" borderId="18" xfId="0" applyNumberFormat="1" applyFont="1" applyFill="1" applyBorder="1" applyAlignment="1" applyProtection="1">
      <alignment horizontal="left" vertical="top" wrapText="1"/>
      <protection hidden="1"/>
    </xf>
    <xf numFmtId="49" fontId="9" fillId="0" borderId="19" xfId="0" applyNumberFormat="1" applyFont="1" applyFill="1" applyBorder="1" applyAlignment="1" applyProtection="1">
      <alignment horizontal="left" vertical="top"/>
      <protection hidden="1"/>
    </xf>
    <xf numFmtId="49" fontId="9" fillId="36" borderId="11" xfId="0" applyNumberFormat="1" applyFont="1" applyFill="1" applyBorder="1" applyAlignment="1" applyProtection="1">
      <alignment horizontal="left" vertical="top"/>
      <protection hidden="1"/>
    </xf>
    <xf numFmtId="49" fontId="9" fillId="36" borderId="19" xfId="0" applyNumberFormat="1" applyFont="1" applyFill="1" applyBorder="1" applyAlignment="1" applyProtection="1">
      <alignment horizontal="left" vertical="top"/>
      <protection hidden="1"/>
    </xf>
    <xf numFmtId="49" fontId="9" fillId="36" borderId="18" xfId="0" applyNumberFormat="1" applyFont="1" applyFill="1" applyBorder="1" applyAlignment="1" applyProtection="1">
      <alignment horizontal="left" vertical="top"/>
      <protection hidden="1"/>
    </xf>
    <xf numFmtId="49" fontId="9" fillId="37" borderId="11" xfId="0" applyNumberFormat="1" applyFont="1" applyFill="1" applyBorder="1" applyAlignment="1" applyProtection="1">
      <alignment horizontal="left" vertical="top"/>
      <protection hidden="1"/>
    </xf>
    <xf numFmtId="49" fontId="9" fillId="40" borderId="0" xfId="0" applyNumberFormat="1" applyFont="1" applyFill="1" applyBorder="1" applyAlignment="1" applyProtection="1">
      <alignment horizontal="left" vertical="top"/>
      <protection hidden="1"/>
    </xf>
    <xf numFmtId="49" fontId="19" fillId="0" borderId="0" xfId="0" applyNumberFormat="1" applyFont="1" applyAlignment="1" applyProtection="1">
      <alignment horizontal="left" vertical="top"/>
      <protection hidden="1"/>
    </xf>
    <xf numFmtId="49" fontId="19" fillId="0" borderId="16" xfId="0" applyNumberFormat="1" applyFont="1" applyFill="1" applyBorder="1" applyAlignment="1" applyProtection="1">
      <alignment horizontal="left" vertical="top"/>
      <protection hidden="1"/>
    </xf>
    <xf numFmtId="185" fontId="17" fillId="0" borderId="0" xfId="0" applyNumberFormat="1" applyFont="1" applyBorder="1" applyAlignment="1" applyProtection="1">
      <alignment horizontal="left" vertical="justify"/>
      <protection hidden="1"/>
    </xf>
    <xf numFmtId="186" fontId="17" fillId="0" borderId="0" xfId="0" applyNumberFormat="1" applyFont="1" applyBorder="1" applyAlignment="1" applyProtection="1">
      <alignment horizontal="left"/>
      <protection hidden="1"/>
    </xf>
    <xf numFmtId="180" fontId="9" fillId="0" borderId="20" xfId="0" applyNumberFormat="1" applyFont="1" applyBorder="1" applyAlignment="1" applyProtection="1">
      <alignment horizontal="left" vertical="top"/>
      <protection hidden="1"/>
    </xf>
    <xf numFmtId="180" fontId="0" fillId="34" borderId="20" xfId="0" applyNumberFormat="1" applyFill="1" applyBorder="1" applyAlignment="1" applyProtection="1">
      <alignment horizontal="left" vertical="top"/>
      <protection hidden="1"/>
    </xf>
    <xf numFmtId="49" fontId="9" fillId="41" borderId="0" xfId="0" applyNumberFormat="1" applyFont="1" applyFill="1" applyAlignment="1" applyProtection="1">
      <alignment horizontal="left" vertical="top"/>
      <protection hidden="1"/>
    </xf>
    <xf numFmtId="49" fontId="9" fillId="41" borderId="16" xfId="0" applyNumberFormat="1" applyFont="1" applyFill="1" applyBorder="1" applyAlignment="1" applyProtection="1">
      <alignment horizontal="left" vertical="top"/>
      <protection hidden="1"/>
    </xf>
    <xf numFmtId="177" fontId="9" fillId="41" borderId="0" xfId="0" applyNumberFormat="1" applyFont="1" applyFill="1" applyAlignment="1" applyProtection="1">
      <alignment horizontal="left" vertical="top"/>
      <protection hidden="1"/>
    </xf>
    <xf numFmtId="1" fontId="9" fillId="41" borderId="0" xfId="43" applyNumberFormat="1" applyFont="1" applyFill="1" applyAlignment="1" applyProtection="1">
      <alignment horizontal="center" vertical="top"/>
      <protection hidden="1"/>
    </xf>
    <xf numFmtId="179" fontId="9" fillId="41" borderId="0" xfId="43" applyNumberFormat="1" applyFont="1" applyFill="1" applyAlignment="1" applyProtection="1">
      <alignment horizontal="left" vertical="top"/>
      <protection hidden="1"/>
    </xf>
    <xf numFmtId="49" fontId="5" fillId="41" borderId="16" xfId="0" applyNumberFormat="1" applyFont="1" applyFill="1" applyBorder="1" applyAlignment="1" applyProtection="1">
      <alignment horizontal="left" vertical="top"/>
      <protection hidden="1"/>
    </xf>
    <xf numFmtId="180" fontId="9" fillId="41" borderId="15" xfId="0" applyNumberFormat="1" applyFont="1" applyFill="1" applyBorder="1" applyAlignment="1" applyProtection="1">
      <alignment horizontal="left" vertical="top"/>
      <protection hidden="1"/>
    </xf>
    <xf numFmtId="49" fontId="21" fillId="0" borderId="0" xfId="0" applyNumberFormat="1" applyFont="1" applyAlignment="1" applyProtection="1">
      <alignment horizontal="left" vertical="top"/>
      <protection hidden="1"/>
    </xf>
    <xf numFmtId="49" fontId="21" fillId="0" borderId="16" xfId="0" applyNumberFormat="1" applyFont="1" applyFill="1" applyBorder="1" applyAlignment="1" applyProtection="1">
      <alignment horizontal="left" vertical="top"/>
      <protection hidden="1"/>
    </xf>
    <xf numFmtId="177" fontId="21" fillId="0" borderId="0" xfId="0" applyNumberFormat="1" applyFont="1" applyAlignment="1" applyProtection="1">
      <alignment horizontal="left" vertical="top"/>
      <protection hidden="1"/>
    </xf>
    <xf numFmtId="1" fontId="21" fillId="0" borderId="0" xfId="43" applyNumberFormat="1" applyFont="1" applyAlignment="1" applyProtection="1">
      <alignment horizontal="center" vertical="top"/>
      <protection hidden="1"/>
    </xf>
    <xf numFmtId="179" fontId="21" fillId="0" borderId="0" xfId="43" applyNumberFormat="1" applyFont="1" applyAlignment="1" applyProtection="1">
      <alignment horizontal="left" vertical="top"/>
      <protection hidden="1"/>
    </xf>
    <xf numFmtId="178" fontId="21" fillId="0" borderId="11" xfId="0" applyNumberFormat="1" applyFont="1" applyBorder="1" applyAlignment="1" applyProtection="1">
      <alignment horizontal="right" vertical="top"/>
      <protection hidden="1"/>
    </xf>
    <xf numFmtId="49" fontId="21" fillId="0" borderId="0" xfId="0" applyNumberFormat="1" applyFont="1" applyFill="1" applyBorder="1" applyAlignment="1" applyProtection="1">
      <alignment horizontal="left" vertical="top"/>
      <protection hidden="1"/>
    </xf>
    <xf numFmtId="49" fontId="21" fillId="0" borderId="13" xfId="0" applyNumberFormat="1" applyFont="1" applyBorder="1" applyAlignment="1" applyProtection="1">
      <alignment horizontal="left" vertical="top"/>
      <protection hidden="1"/>
    </xf>
    <xf numFmtId="49" fontId="22" fillId="0" borderId="0" xfId="0" applyNumberFormat="1" applyFont="1" applyAlignment="1" applyProtection="1">
      <alignment horizontal="left" vertical="top"/>
      <protection hidden="1"/>
    </xf>
    <xf numFmtId="49" fontId="22" fillId="0" borderId="0" xfId="0" applyNumberFormat="1" applyFont="1" applyFill="1" applyBorder="1" applyAlignment="1" applyProtection="1">
      <alignment horizontal="left" vertical="top"/>
      <protection hidden="1"/>
    </xf>
    <xf numFmtId="49" fontId="22" fillId="0" borderId="13" xfId="0" applyNumberFormat="1" applyFont="1" applyBorder="1" applyAlignment="1" applyProtection="1">
      <alignment horizontal="left" vertical="top"/>
      <protection hidden="1"/>
    </xf>
    <xf numFmtId="177" fontId="22" fillId="0" borderId="0" xfId="0" applyNumberFormat="1" applyFont="1" applyAlignment="1" applyProtection="1">
      <alignment horizontal="left" vertical="top"/>
      <protection hidden="1"/>
    </xf>
    <xf numFmtId="1" fontId="22" fillId="0" borderId="0" xfId="43" applyNumberFormat="1" applyFont="1" applyAlignment="1" applyProtection="1">
      <alignment horizontal="center" vertical="top"/>
      <protection hidden="1"/>
    </xf>
    <xf numFmtId="179" fontId="22" fillId="0" borderId="0" xfId="43" applyNumberFormat="1" applyFont="1" applyAlignment="1" applyProtection="1">
      <alignment horizontal="left" vertical="top"/>
      <protection hidden="1"/>
    </xf>
    <xf numFmtId="49" fontId="23" fillId="0" borderId="0" xfId="0" applyNumberFormat="1" applyFont="1" applyAlignment="1" applyProtection="1">
      <alignment horizontal="left" vertical="top"/>
      <protection hidden="1"/>
    </xf>
    <xf numFmtId="49" fontId="24" fillId="36" borderId="16" xfId="0" applyNumberFormat="1" applyFont="1" applyFill="1" applyBorder="1" applyAlignment="1" applyProtection="1">
      <alignment horizontal="center" vertical="top" wrapText="1"/>
      <protection hidden="1"/>
    </xf>
    <xf numFmtId="49" fontId="23" fillId="36" borderId="0" xfId="0" applyNumberFormat="1" applyFont="1" applyFill="1" applyAlignment="1" applyProtection="1">
      <alignment horizontal="left" vertical="top"/>
      <protection hidden="1"/>
    </xf>
    <xf numFmtId="49" fontId="26" fillId="36" borderId="16" xfId="0" applyNumberFormat="1" applyFont="1" applyFill="1" applyBorder="1" applyAlignment="1" applyProtection="1">
      <alignment horizontal="left" vertical="top" wrapText="1"/>
      <protection hidden="1"/>
    </xf>
    <xf numFmtId="177" fontId="23" fillId="36" borderId="0" xfId="0" applyNumberFormat="1" applyFont="1" applyFill="1" applyAlignment="1" applyProtection="1">
      <alignment horizontal="left" vertical="top"/>
      <protection hidden="1"/>
    </xf>
    <xf numFmtId="1" fontId="23" fillId="36" borderId="0" xfId="43" applyNumberFormat="1" applyFont="1" applyFill="1" applyBorder="1" applyAlignment="1" applyProtection="1">
      <alignment horizontal="center" vertical="top"/>
      <protection hidden="1"/>
    </xf>
    <xf numFmtId="179" fontId="23" fillId="36" borderId="0" xfId="43" applyNumberFormat="1" applyFont="1" applyFill="1" applyBorder="1" applyAlignment="1" applyProtection="1">
      <alignment horizontal="left" vertical="top"/>
      <protection hidden="1"/>
    </xf>
    <xf numFmtId="178" fontId="25" fillId="0" borderId="11" xfId="0" applyNumberFormat="1" applyFont="1" applyBorder="1" applyAlignment="1" applyProtection="1">
      <alignment horizontal="right" vertical="top"/>
      <protection hidden="1"/>
    </xf>
    <xf numFmtId="180" fontId="23" fillId="0" borderId="15" xfId="0" applyNumberFormat="1" applyFont="1" applyBorder="1" applyAlignment="1" applyProtection="1">
      <alignment horizontal="left" vertical="top"/>
      <protection hidden="1"/>
    </xf>
    <xf numFmtId="170" fontId="25" fillId="0" borderId="15" xfId="0" applyNumberFormat="1" applyFont="1" applyBorder="1" applyAlignment="1" applyProtection="1">
      <alignment horizontal="left" vertical="top"/>
      <protection hidden="1"/>
    </xf>
    <xf numFmtId="0" fontId="23" fillId="0" borderId="0" xfId="0" applyFont="1" applyAlignment="1" applyProtection="1">
      <alignment horizontal="left"/>
      <protection hidden="1"/>
    </xf>
    <xf numFmtId="49" fontId="23" fillId="0" borderId="0" xfId="0" applyNumberFormat="1" applyFont="1" applyFill="1" applyBorder="1" applyAlignment="1" applyProtection="1">
      <alignment horizontal="left" vertical="top"/>
      <protection hidden="1"/>
    </xf>
    <xf numFmtId="49" fontId="23" fillId="0" borderId="13" xfId="0" applyNumberFormat="1" applyFont="1" applyBorder="1" applyAlignment="1" applyProtection="1">
      <alignment horizontal="left" vertical="top"/>
      <protection hidden="1"/>
    </xf>
    <xf numFmtId="177" fontId="23" fillId="0" borderId="0" xfId="0" applyNumberFormat="1" applyFont="1" applyAlignment="1" applyProtection="1">
      <alignment horizontal="left" vertical="top"/>
      <protection hidden="1"/>
    </xf>
    <xf numFmtId="1" fontId="23" fillId="0" borderId="0" xfId="43" applyNumberFormat="1" applyFont="1" applyAlignment="1" applyProtection="1">
      <alignment horizontal="center" vertical="top"/>
      <protection hidden="1"/>
    </xf>
    <xf numFmtId="179" fontId="23" fillId="0" borderId="0" xfId="43" applyNumberFormat="1" applyFont="1" applyAlignment="1" applyProtection="1">
      <alignment horizontal="left" vertical="top"/>
      <protection hidden="1"/>
    </xf>
    <xf numFmtId="49" fontId="0" fillId="0" borderId="0" xfId="0" applyNumberFormat="1" applyFill="1" applyAlignment="1" applyProtection="1">
      <alignment horizontal="left" vertical="top"/>
      <protection hidden="1"/>
    </xf>
    <xf numFmtId="49" fontId="0" fillId="0" borderId="0" xfId="0" applyNumberFormat="1" applyFont="1" applyFill="1" applyAlignment="1" applyProtection="1">
      <alignment horizontal="left" vertical="top"/>
      <protection hidden="1"/>
    </xf>
    <xf numFmtId="177" fontId="0" fillId="0" borderId="0" xfId="0" applyNumberFormat="1" applyFill="1" applyAlignment="1" applyProtection="1">
      <alignment horizontal="left" vertical="top"/>
      <protection hidden="1"/>
    </xf>
    <xf numFmtId="1" fontId="0" fillId="0" borderId="0" xfId="43" applyNumberFormat="1" applyFill="1" applyAlignment="1" applyProtection="1">
      <alignment horizontal="center" vertical="top"/>
      <protection hidden="1"/>
    </xf>
    <xf numFmtId="179" fontId="0" fillId="0" borderId="0" xfId="43" applyNumberFormat="1" applyFill="1" applyAlignment="1" applyProtection="1">
      <alignment horizontal="left" vertical="top"/>
      <protection hidden="1"/>
    </xf>
    <xf numFmtId="178" fontId="9" fillId="0" borderId="11" xfId="0" applyNumberFormat="1" applyFont="1" applyFill="1" applyBorder="1" applyAlignment="1" applyProtection="1">
      <alignment horizontal="right" vertical="top"/>
      <protection hidden="1"/>
    </xf>
    <xf numFmtId="180" fontId="0" fillId="0" borderId="15" xfId="0" applyNumberFormat="1" applyFill="1" applyBorder="1" applyAlignment="1" applyProtection="1">
      <alignment horizontal="left" vertical="top"/>
      <protection hidden="1"/>
    </xf>
    <xf numFmtId="170" fontId="9" fillId="0" borderId="15" xfId="0" applyNumberFormat="1" applyFont="1" applyFill="1" applyBorder="1" applyAlignment="1" applyProtection="1">
      <alignment horizontal="left" vertical="top"/>
      <protection hidden="1"/>
    </xf>
    <xf numFmtId="0" fontId="0" fillId="0" borderId="0" xfId="0" applyFill="1" applyAlignment="1" applyProtection="1">
      <alignment horizontal="left"/>
      <protection hidden="1"/>
    </xf>
    <xf numFmtId="49" fontId="28" fillId="0" borderId="0" xfId="0" applyNumberFormat="1" applyFont="1" applyAlignment="1" applyProtection="1">
      <alignment horizontal="left" vertical="top"/>
      <protection hidden="1"/>
    </xf>
    <xf numFmtId="49" fontId="28" fillId="0" borderId="0" xfId="0" applyNumberFormat="1" applyFont="1" applyFill="1" applyBorder="1" applyAlignment="1" applyProtection="1">
      <alignment horizontal="left" vertical="top"/>
      <protection hidden="1"/>
    </xf>
    <xf numFmtId="49" fontId="28" fillId="0" borderId="13" xfId="0" applyNumberFormat="1" applyFont="1" applyBorder="1" applyAlignment="1" applyProtection="1">
      <alignment horizontal="left" vertical="top"/>
      <protection hidden="1"/>
    </xf>
    <xf numFmtId="177" fontId="28" fillId="0" borderId="0" xfId="0" applyNumberFormat="1" applyFont="1" applyAlignment="1" applyProtection="1">
      <alignment horizontal="left" vertical="top"/>
      <protection hidden="1"/>
    </xf>
    <xf numFmtId="1" fontId="28" fillId="0" borderId="0" xfId="43" applyNumberFormat="1" applyFont="1" applyAlignment="1" applyProtection="1">
      <alignment horizontal="center" vertical="top"/>
      <protection hidden="1"/>
    </xf>
    <xf numFmtId="179" fontId="28" fillId="0" borderId="0" xfId="43" applyNumberFormat="1" applyFont="1" applyAlignment="1" applyProtection="1">
      <alignment horizontal="left" vertical="top"/>
      <protection hidden="1"/>
    </xf>
    <xf numFmtId="49" fontId="30" fillId="34" borderId="0" xfId="0" applyNumberFormat="1" applyFont="1" applyFill="1" applyAlignment="1" applyProtection="1">
      <alignment horizontal="left" vertical="top"/>
      <protection hidden="1"/>
    </xf>
    <xf numFmtId="49" fontId="30" fillId="34" borderId="16" xfId="0" applyNumberFormat="1" applyFont="1" applyFill="1" applyBorder="1" applyAlignment="1" applyProtection="1">
      <alignment horizontal="left" vertical="top"/>
      <protection hidden="1"/>
    </xf>
    <xf numFmtId="177" fontId="30" fillId="34" borderId="0" xfId="0" applyNumberFormat="1" applyFont="1" applyFill="1" applyAlignment="1" applyProtection="1">
      <alignment horizontal="left" vertical="top"/>
      <protection hidden="1"/>
    </xf>
    <xf numFmtId="1" fontId="30" fillId="34" borderId="0" xfId="43" applyNumberFormat="1" applyFont="1" applyFill="1" applyAlignment="1" applyProtection="1">
      <alignment horizontal="center" vertical="top"/>
      <protection hidden="1"/>
    </xf>
    <xf numFmtId="179" fontId="30" fillId="34" borderId="0" xfId="43" applyNumberFormat="1" applyFont="1" applyFill="1" applyAlignment="1" applyProtection="1">
      <alignment horizontal="left" vertical="top"/>
      <protection hidden="1"/>
    </xf>
    <xf numFmtId="180" fontId="30" fillId="34" borderId="15" xfId="0" applyNumberFormat="1" applyFont="1" applyFill="1" applyBorder="1" applyAlignment="1" applyProtection="1">
      <alignment horizontal="left" vertical="top"/>
      <protection hidden="1"/>
    </xf>
    <xf numFmtId="170" fontId="29" fillId="0" borderId="15" xfId="0" applyNumberFormat="1" applyFont="1" applyBorder="1" applyAlignment="1" applyProtection="1">
      <alignment horizontal="left" vertical="top"/>
      <protection hidden="1"/>
    </xf>
    <xf numFmtId="170" fontId="0" fillId="0" borderId="0" xfId="0" applyNumberFormat="1" applyFont="1" applyAlignment="1" applyProtection="1">
      <alignment horizontal="left" vertical="top"/>
      <protection hidden="1"/>
    </xf>
    <xf numFmtId="0" fontId="31" fillId="0" borderId="0" xfId="60" applyNumberFormat="1" applyFont="1" applyAlignment="1" applyProtection="1">
      <alignment horizontal="center" vertical="top"/>
      <protection hidden="1"/>
    </xf>
    <xf numFmtId="0" fontId="31" fillId="0" borderId="0" xfId="0" applyFont="1" applyAlignment="1" applyProtection="1">
      <alignment horizontal="left" vertical="top"/>
      <protection hidden="1"/>
    </xf>
    <xf numFmtId="170" fontId="31" fillId="0" borderId="0" xfId="0" applyNumberFormat="1" applyFont="1" applyAlignment="1" applyProtection="1">
      <alignment horizontal="left" vertical="top"/>
      <protection hidden="1"/>
    </xf>
    <xf numFmtId="49" fontId="0" fillId="0" borderId="21" xfId="60" applyNumberFormat="1" applyFont="1" applyBorder="1" applyAlignment="1" applyProtection="1">
      <alignment vertical="top"/>
      <protection hidden="1"/>
    </xf>
    <xf numFmtId="0" fontId="17" fillId="0" borderId="0" xfId="60" applyNumberFormat="1" applyFont="1" applyAlignment="1" applyProtection="1">
      <alignment horizontal="right" vertical="top"/>
      <protection hidden="1"/>
    </xf>
    <xf numFmtId="0" fontId="17" fillId="0" borderId="0" xfId="0" applyFont="1" applyAlignment="1" applyProtection="1">
      <alignment horizontal="left" vertical="top"/>
      <protection hidden="1"/>
    </xf>
    <xf numFmtId="170" fontId="17" fillId="0" borderId="0" xfId="0" applyNumberFormat="1" applyFont="1" applyAlignment="1" applyProtection="1">
      <alignment horizontal="left" vertical="top"/>
      <protection hidden="1"/>
    </xf>
    <xf numFmtId="49" fontId="3" fillId="33" borderId="19" xfId="0" applyNumberFormat="1" applyFont="1" applyFill="1" applyBorder="1" applyAlignment="1" applyProtection="1">
      <alignment horizontal="right"/>
      <protection hidden="1"/>
    </xf>
    <xf numFmtId="0" fontId="4" fillId="0" borderId="0" xfId="0" applyFont="1" applyAlignment="1" applyProtection="1">
      <alignment horizontal="left"/>
      <protection hidden="1" locked="0"/>
    </xf>
    <xf numFmtId="178" fontId="0" fillId="33" borderId="0" xfId="0" applyNumberFormat="1" applyFill="1" applyAlignment="1" applyProtection="1">
      <alignment horizontal="right"/>
      <protection hidden="1" locked="0"/>
    </xf>
    <xf numFmtId="0" fontId="0" fillId="33" borderId="0" xfId="60" applyNumberFormat="1" applyFill="1" applyAlignment="1" applyProtection="1">
      <alignment horizontal="center"/>
      <protection hidden="1" locked="0"/>
    </xf>
    <xf numFmtId="10" fontId="3" fillId="33" borderId="0" xfId="60" applyNumberFormat="1" applyFont="1" applyFill="1" applyAlignment="1" applyProtection="1">
      <alignment horizontal="center" vertical="top"/>
      <protection locked="0"/>
    </xf>
    <xf numFmtId="180" fontId="0" fillId="0" borderId="21" xfId="0" applyNumberFormat="1" applyBorder="1" applyAlignment="1" applyProtection="1">
      <alignment horizontal="left" vertical="top"/>
      <protection hidden="1"/>
    </xf>
    <xf numFmtId="1" fontId="0" fillId="0" borderId="21" xfId="43" applyNumberFormat="1" applyBorder="1" applyAlignment="1" applyProtection="1">
      <alignment horizontal="center" vertical="top"/>
      <protection hidden="1"/>
    </xf>
    <xf numFmtId="179" fontId="0" fillId="0" borderId="21" xfId="43" applyNumberFormat="1" applyBorder="1" applyAlignment="1" applyProtection="1">
      <alignment horizontal="left" vertical="top"/>
      <protection hidden="1"/>
    </xf>
    <xf numFmtId="178" fontId="0" fillId="0" borderId="21" xfId="43" applyNumberFormat="1" applyBorder="1" applyAlignment="1" applyProtection="1">
      <alignment horizontal="left" vertical="top"/>
      <protection hidden="1"/>
    </xf>
    <xf numFmtId="171" fontId="0" fillId="0" borderId="21" xfId="0" applyNumberFormat="1" applyBorder="1" applyAlignment="1" applyProtection="1">
      <alignment horizontal="left" vertical="top"/>
      <protection hidden="1"/>
    </xf>
    <xf numFmtId="10" fontId="5" fillId="33" borderId="10" xfId="60" applyNumberFormat="1" applyFont="1" applyFill="1" applyBorder="1" applyAlignment="1" applyProtection="1">
      <alignment horizontal="center" vertical="top"/>
      <protection hidden="1"/>
    </xf>
    <xf numFmtId="0" fontId="0" fillId="0" borderId="21" xfId="0" applyFont="1" applyFill="1" applyBorder="1" applyAlignment="1" applyProtection="1">
      <alignment horizontal="right"/>
      <protection hidden="1"/>
    </xf>
    <xf numFmtId="10" fontId="0" fillId="34" borderId="12" xfId="60" applyNumberFormat="1" applyFont="1" applyFill="1" applyBorder="1" applyAlignment="1" applyProtection="1">
      <alignment vertical="top"/>
      <protection hidden="1" locked="0"/>
    </xf>
    <xf numFmtId="2" fontId="32" fillId="33" borderId="0" xfId="0" applyNumberFormat="1" applyFont="1" applyFill="1" applyAlignment="1" applyProtection="1">
      <alignment horizontal="right"/>
      <protection/>
    </xf>
    <xf numFmtId="0" fontId="7" fillId="0" borderId="0" xfId="0" applyNumberFormat="1" applyFont="1" applyFill="1" applyBorder="1" applyAlignment="1" applyProtection="1">
      <alignment horizontal="left" vertical="top"/>
      <protection hidden="1"/>
    </xf>
    <xf numFmtId="49" fontId="33" fillId="0" borderId="0" xfId="0" applyNumberFormat="1" applyFont="1" applyAlignment="1" applyProtection="1">
      <alignment horizontal="left" vertical="top"/>
      <protection hidden="1"/>
    </xf>
    <xf numFmtId="49" fontId="11" fillId="39" borderId="0" xfId="0" applyNumberFormat="1" applyFont="1" applyFill="1" applyBorder="1" applyAlignment="1" applyProtection="1">
      <alignment horizontal="left" vertical="top"/>
      <protection hidden="1"/>
    </xf>
    <xf numFmtId="49" fontId="11" fillId="39" borderId="16" xfId="0" applyNumberFormat="1" applyFont="1" applyFill="1" applyBorder="1" applyAlignment="1" applyProtection="1">
      <alignment horizontal="left" vertical="top"/>
      <protection hidden="1"/>
    </xf>
    <xf numFmtId="49" fontId="10" fillId="35" borderId="16" xfId="0" applyNumberFormat="1" applyFont="1" applyFill="1" applyBorder="1" applyAlignment="1" applyProtection="1">
      <alignment horizontal="left" vertical="top" wrapText="1"/>
      <protection hidden="1"/>
    </xf>
    <xf numFmtId="49" fontId="10" fillId="33" borderId="16" xfId="0" applyNumberFormat="1" applyFont="1" applyFill="1" applyBorder="1" applyAlignment="1" applyProtection="1">
      <alignment horizontal="left" vertical="top"/>
      <protection hidden="1"/>
    </xf>
    <xf numFmtId="49" fontId="10" fillId="39" borderId="16" xfId="0" applyNumberFormat="1" applyFont="1" applyFill="1" applyBorder="1" applyAlignment="1" applyProtection="1">
      <alignment horizontal="left" vertical="top"/>
      <protection hidden="1"/>
    </xf>
    <xf numFmtId="49" fontId="3" fillId="0" borderId="0" xfId="0" applyNumberFormat="1" applyFont="1" applyAlignment="1" applyProtection="1">
      <alignment horizontal="left" vertical="top"/>
      <protection hidden="1"/>
    </xf>
    <xf numFmtId="49" fontId="3" fillId="0" borderId="0" xfId="0" applyNumberFormat="1" applyFont="1" applyBorder="1" applyAlignment="1" applyProtection="1">
      <alignment horizontal="left" vertical="top"/>
      <protection hidden="1"/>
    </xf>
    <xf numFmtId="49" fontId="5" fillId="0" borderId="22" xfId="0" applyNumberFormat="1" applyFont="1" applyBorder="1" applyAlignment="1" applyProtection="1">
      <alignment vertical="top"/>
      <protection hidden="1"/>
    </xf>
    <xf numFmtId="0" fontId="7" fillId="35" borderId="23" xfId="0" applyNumberFormat="1" applyFont="1" applyFill="1" applyBorder="1" applyAlignment="1" applyProtection="1">
      <alignment horizontal="right" vertical="top"/>
      <protection hidden="1"/>
    </xf>
    <xf numFmtId="1" fontId="6" fillId="35" borderId="24" xfId="0" applyNumberFormat="1" applyFont="1" applyFill="1" applyBorder="1" applyAlignment="1" applyProtection="1">
      <alignment horizontal="left" vertical="top"/>
      <protection hidden="1"/>
    </xf>
    <xf numFmtId="49" fontId="7" fillId="35" borderId="25" xfId="0" applyNumberFormat="1" applyFont="1" applyFill="1" applyBorder="1" applyAlignment="1" applyProtection="1">
      <alignment horizontal="left" vertical="top"/>
      <protection hidden="1"/>
    </xf>
    <xf numFmtId="49" fontId="7" fillId="35" borderId="14" xfId="0" applyNumberFormat="1" applyFont="1" applyFill="1" applyBorder="1" applyAlignment="1" applyProtection="1">
      <alignment horizontal="center" vertical="top"/>
      <protection hidden="1"/>
    </xf>
    <xf numFmtId="177" fontId="7" fillId="35" borderId="14" xfId="0" applyNumberFormat="1" applyFont="1" applyFill="1" applyBorder="1" applyAlignment="1" applyProtection="1">
      <alignment horizontal="left" vertical="top"/>
      <protection hidden="1"/>
    </xf>
    <xf numFmtId="1" fontId="8" fillId="35" borderId="14" xfId="43" applyNumberFormat="1" applyFont="1" applyFill="1" applyBorder="1" applyAlignment="1" applyProtection="1">
      <alignment horizontal="center" vertical="top"/>
      <protection hidden="1"/>
    </xf>
    <xf numFmtId="179" fontId="7" fillId="35" borderId="14" xfId="43" applyNumberFormat="1" applyFont="1" applyFill="1" applyBorder="1" applyAlignment="1" applyProtection="1">
      <alignment horizontal="left" vertical="top"/>
      <protection hidden="1"/>
    </xf>
    <xf numFmtId="178" fontId="7" fillId="35" borderId="23" xfId="43" applyNumberFormat="1" applyFont="1" applyFill="1" applyBorder="1" applyAlignment="1" applyProtection="1">
      <alignment horizontal="left" vertical="top"/>
      <protection hidden="1"/>
    </xf>
    <xf numFmtId="180" fontId="7" fillId="35" borderId="14" xfId="0" applyNumberFormat="1" applyFont="1" applyFill="1" applyBorder="1" applyAlignment="1" applyProtection="1">
      <alignment horizontal="left" vertical="top"/>
      <protection hidden="1"/>
    </xf>
    <xf numFmtId="0" fontId="7" fillId="35" borderId="26" xfId="0" applyNumberFormat="1" applyFont="1" applyFill="1" applyBorder="1" applyAlignment="1" applyProtection="1">
      <alignment horizontal="center" vertical="top"/>
      <protection hidden="1"/>
    </xf>
    <xf numFmtId="178" fontId="7" fillId="39" borderId="27" xfId="0" applyNumberFormat="1" applyFont="1" applyFill="1" applyBorder="1" applyAlignment="1" applyProtection="1">
      <alignment horizontal="right" vertical="top"/>
      <protection hidden="1"/>
    </xf>
    <xf numFmtId="2" fontId="9" fillId="0" borderId="18" xfId="60" applyNumberFormat="1" applyFont="1" applyFill="1" applyBorder="1" applyAlignment="1" applyProtection="1">
      <alignment horizontal="center" vertical="top"/>
      <protection hidden="1" locked="0"/>
    </xf>
    <xf numFmtId="1" fontId="9" fillId="39" borderId="21" xfId="0" applyNumberFormat="1" applyFont="1" applyFill="1" applyBorder="1" applyAlignment="1" applyProtection="1">
      <alignment vertical="top"/>
      <protection hidden="1"/>
    </xf>
    <xf numFmtId="1" fontId="10" fillId="39" borderId="21" xfId="0" applyNumberFormat="1" applyFont="1" applyFill="1" applyBorder="1" applyAlignment="1" applyProtection="1">
      <alignment vertical="top" wrapText="1"/>
      <protection hidden="1"/>
    </xf>
    <xf numFmtId="170" fontId="35" fillId="35" borderId="15" xfId="0" applyNumberFormat="1" applyFont="1" applyFill="1" applyBorder="1" applyAlignment="1" applyProtection="1">
      <alignment horizontal="left" vertical="top"/>
      <protection hidden="1"/>
    </xf>
    <xf numFmtId="0" fontId="0" fillId="0" borderId="0" xfId="0" applyAlignment="1">
      <alignment/>
    </xf>
    <xf numFmtId="178" fontId="29" fillId="0" borderId="19" xfId="0" applyNumberFormat="1" applyFont="1" applyBorder="1" applyAlignment="1" applyProtection="1">
      <alignment horizontal="right" vertical="top"/>
      <protection hidden="1"/>
    </xf>
    <xf numFmtId="0" fontId="0" fillId="0" borderId="0" xfId="0" applyAlignment="1" applyProtection="1">
      <alignment horizontal="center" vertical="center" wrapText="1"/>
      <protection hidden="1"/>
    </xf>
    <xf numFmtId="0" fontId="9" fillId="0" borderId="0" xfId="0" applyFont="1" applyAlignment="1" applyProtection="1">
      <alignment/>
      <protection hidden="1"/>
    </xf>
    <xf numFmtId="0" fontId="0" fillId="0" borderId="0" xfId="0" applyAlignment="1" applyProtection="1">
      <alignment vertical="center" wrapText="1"/>
      <protection hidden="1"/>
    </xf>
    <xf numFmtId="0" fontId="0" fillId="0" borderId="28" xfId="0" applyBorder="1" applyAlignment="1">
      <alignment/>
    </xf>
    <xf numFmtId="49" fontId="7" fillId="35" borderId="29" xfId="0" applyNumberFormat="1" applyFont="1" applyFill="1" applyBorder="1" applyAlignment="1" applyProtection="1">
      <alignment horizontal="left" vertical="top"/>
      <protection hidden="1"/>
    </xf>
    <xf numFmtId="1" fontId="9" fillId="0" borderId="30" xfId="0" applyNumberFormat="1" applyFont="1" applyFill="1" applyBorder="1" applyAlignment="1" applyProtection="1">
      <alignment horizontal="center" vertical="top"/>
      <protection hidden="1"/>
    </xf>
    <xf numFmtId="1" fontId="9" fillId="0" borderId="30" xfId="0" applyNumberFormat="1" applyFont="1" applyBorder="1" applyAlignment="1" applyProtection="1">
      <alignment horizontal="center" vertical="top"/>
      <protection hidden="1"/>
    </xf>
    <xf numFmtId="1" fontId="9" fillId="41" borderId="30" xfId="0" applyNumberFormat="1" applyFont="1" applyFill="1" applyBorder="1" applyAlignment="1" applyProtection="1">
      <alignment horizontal="center" vertical="top"/>
      <protection hidden="1"/>
    </xf>
    <xf numFmtId="1" fontId="9" fillId="40" borderId="30" xfId="0" applyNumberFormat="1" applyFont="1" applyFill="1" applyBorder="1" applyAlignment="1" applyProtection="1">
      <alignment horizontal="center" vertical="top"/>
      <protection hidden="1"/>
    </xf>
    <xf numFmtId="1" fontId="21" fillId="0" borderId="30" xfId="0" applyNumberFormat="1" applyFont="1" applyBorder="1" applyAlignment="1" applyProtection="1">
      <alignment horizontal="center" vertical="top"/>
      <protection hidden="1"/>
    </xf>
    <xf numFmtId="1" fontId="27" fillId="0" borderId="30" xfId="0" applyNumberFormat="1" applyFont="1" applyBorder="1" applyAlignment="1" applyProtection="1">
      <alignment horizontal="center" vertical="top"/>
      <protection hidden="1"/>
    </xf>
    <xf numFmtId="1" fontId="18" fillId="0" borderId="30" xfId="0" applyNumberFormat="1" applyFont="1" applyBorder="1" applyAlignment="1" applyProtection="1">
      <alignment horizontal="center" vertical="top"/>
      <protection hidden="1"/>
    </xf>
    <xf numFmtId="1" fontId="9" fillId="39" borderId="30" xfId="0" applyNumberFormat="1" applyFont="1" applyFill="1" applyBorder="1" applyAlignment="1" applyProtection="1">
      <alignment horizontal="center" vertical="top"/>
      <protection hidden="1"/>
    </xf>
    <xf numFmtId="1" fontId="25" fillId="0" borderId="30" xfId="0" applyNumberFormat="1" applyFont="1" applyBorder="1" applyAlignment="1" applyProtection="1">
      <alignment horizontal="center" vertical="top"/>
      <protection hidden="1"/>
    </xf>
    <xf numFmtId="1" fontId="9" fillId="38" borderId="30" xfId="0" applyNumberFormat="1" applyFont="1" applyFill="1" applyBorder="1" applyAlignment="1" applyProtection="1">
      <alignment horizontal="center" vertical="top"/>
      <protection hidden="1"/>
    </xf>
    <xf numFmtId="1" fontId="9" fillId="0" borderId="31" xfId="0" applyNumberFormat="1" applyFont="1" applyBorder="1" applyAlignment="1" applyProtection="1">
      <alignment horizontal="center" vertical="top"/>
      <protection hidden="1"/>
    </xf>
    <xf numFmtId="1" fontId="9" fillId="37" borderId="30" xfId="0" applyNumberFormat="1" applyFont="1" applyFill="1" applyBorder="1" applyAlignment="1" applyProtection="1">
      <alignment horizontal="center" vertical="top"/>
      <protection hidden="1"/>
    </xf>
    <xf numFmtId="1" fontId="9" fillId="37" borderId="31" xfId="0" applyNumberFormat="1" applyFont="1" applyFill="1" applyBorder="1" applyAlignment="1" applyProtection="1">
      <alignment horizontal="center" vertical="top"/>
      <protection hidden="1"/>
    </xf>
    <xf numFmtId="1" fontId="9" fillId="36" borderId="30" xfId="0" applyNumberFormat="1" applyFont="1" applyFill="1" applyBorder="1" applyAlignment="1" applyProtection="1">
      <alignment horizontal="center" vertical="top"/>
      <protection hidden="1"/>
    </xf>
    <xf numFmtId="1" fontId="9" fillId="36" borderId="31" xfId="0" applyNumberFormat="1" applyFont="1" applyFill="1" applyBorder="1" applyAlignment="1" applyProtection="1">
      <alignment horizontal="center" vertical="top"/>
      <protection hidden="1"/>
    </xf>
    <xf numFmtId="1" fontId="25" fillId="36" borderId="30" xfId="0" applyNumberFormat="1" applyFont="1" applyFill="1" applyBorder="1" applyAlignment="1" applyProtection="1">
      <alignment horizontal="center" vertical="top"/>
      <protection hidden="1"/>
    </xf>
    <xf numFmtId="1" fontId="9" fillId="35" borderId="30" xfId="0" applyNumberFormat="1" applyFont="1" applyFill="1" applyBorder="1" applyAlignment="1" applyProtection="1">
      <alignment horizontal="center" vertical="top"/>
      <protection hidden="1"/>
    </xf>
    <xf numFmtId="1" fontId="9" fillId="34" borderId="30" xfId="0" applyNumberFormat="1" applyFont="1" applyFill="1" applyBorder="1" applyAlignment="1" applyProtection="1">
      <alignment horizontal="center" vertical="top"/>
      <protection hidden="1"/>
    </xf>
    <xf numFmtId="1" fontId="29" fillId="34" borderId="30" xfId="0" applyNumberFormat="1" applyFont="1" applyFill="1" applyBorder="1" applyAlignment="1" applyProtection="1">
      <alignment horizontal="center" vertical="top"/>
      <protection hidden="1"/>
    </xf>
    <xf numFmtId="1" fontId="9" fillId="40" borderId="31" xfId="0" applyNumberFormat="1" applyFont="1" applyFill="1" applyBorder="1" applyAlignment="1" applyProtection="1">
      <alignment horizontal="center" vertical="top"/>
      <protection hidden="1"/>
    </xf>
    <xf numFmtId="49" fontId="0" fillId="0" borderId="32" xfId="0" applyNumberFormat="1" applyBorder="1" applyAlignment="1" applyProtection="1" quotePrefix="1">
      <alignment horizontal="center" vertical="top"/>
      <protection hidden="1"/>
    </xf>
    <xf numFmtId="1" fontId="0" fillId="0" borderId="22" xfId="0" applyNumberFormat="1" applyBorder="1" applyAlignment="1" applyProtection="1">
      <alignment horizontal="center" vertical="top"/>
      <protection hidden="1"/>
    </xf>
    <xf numFmtId="170" fontId="35" fillId="35" borderId="33" xfId="0" applyNumberFormat="1" applyFont="1" applyFill="1" applyBorder="1" applyAlignment="1" applyProtection="1">
      <alignment horizontal="left" vertical="top"/>
      <protection hidden="1"/>
    </xf>
    <xf numFmtId="0" fontId="7" fillId="35" borderId="34" xfId="0" applyNumberFormat="1" applyFont="1" applyFill="1" applyBorder="1" applyAlignment="1" applyProtection="1">
      <alignment horizontal="center" vertical="top"/>
      <protection hidden="1"/>
    </xf>
    <xf numFmtId="170" fontId="35" fillId="35" borderId="35" xfId="0" applyNumberFormat="1" applyFont="1" applyFill="1" applyBorder="1" applyAlignment="1" applyProtection="1">
      <alignment horizontal="left" vertical="top"/>
      <protection hidden="1"/>
    </xf>
    <xf numFmtId="170" fontId="35" fillId="35" borderId="36" xfId="0" applyNumberFormat="1" applyFont="1" applyFill="1" applyBorder="1" applyAlignment="1" applyProtection="1">
      <alignment horizontal="left" vertical="top"/>
      <protection hidden="1"/>
    </xf>
    <xf numFmtId="1" fontId="36" fillId="39" borderId="21" xfId="0" applyNumberFormat="1" applyFont="1" applyFill="1" applyBorder="1" applyAlignment="1" applyProtection="1">
      <alignment horizontal="center" vertical="center" wrapText="1"/>
      <protection hidden="1"/>
    </xf>
    <xf numFmtId="1" fontId="10" fillId="39" borderId="12" xfId="0" applyNumberFormat="1" applyFont="1" applyFill="1" applyBorder="1" applyAlignment="1" applyProtection="1">
      <alignment horizontal="center" vertical="top" wrapText="1"/>
      <protection hidden="1"/>
    </xf>
    <xf numFmtId="1" fontId="10" fillId="39" borderId="21" xfId="0" applyNumberFormat="1" applyFont="1" applyFill="1" applyBorder="1" applyAlignment="1" applyProtection="1">
      <alignment horizontal="center" vertical="top" wrapText="1"/>
      <protection hidden="1"/>
    </xf>
    <xf numFmtId="178" fontId="9" fillId="0" borderId="19" xfId="0" applyNumberFormat="1" applyFont="1" applyBorder="1" applyAlignment="1" applyProtection="1">
      <alignment horizontal="right" vertical="top"/>
      <protection hidden="1"/>
    </xf>
    <xf numFmtId="170" fontId="37" fillId="35" borderId="15" xfId="0" applyNumberFormat="1" applyFont="1" applyFill="1" applyBorder="1" applyAlignment="1" applyProtection="1">
      <alignment horizontal="left" vertical="top"/>
      <protection hidden="1"/>
    </xf>
    <xf numFmtId="178" fontId="25" fillId="0" borderId="19" xfId="0" applyNumberFormat="1" applyFont="1" applyBorder="1" applyAlignment="1" applyProtection="1">
      <alignment horizontal="right" vertical="top"/>
      <protection hidden="1"/>
    </xf>
    <xf numFmtId="1" fontId="10" fillId="39" borderId="21" xfId="0" applyNumberFormat="1" applyFont="1" applyFill="1" applyBorder="1" applyAlignment="1" applyProtection="1">
      <alignment horizontal="center" vertical="center" wrapText="1"/>
      <protection hidden="1"/>
    </xf>
    <xf numFmtId="49" fontId="0" fillId="42" borderId="11" xfId="0" applyNumberFormat="1" applyFont="1" applyFill="1" applyBorder="1" applyAlignment="1" applyProtection="1">
      <alignment horizontal="left" vertical="top"/>
      <protection hidden="1" locked="0"/>
    </xf>
    <xf numFmtId="49" fontId="5" fillId="34" borderId="16" xfId="0" applyNumberFormat="1" applyFont="1" applyFill="1" applyBorder="1" applyAlignment="1" applyProtection="1">
      <alignment horizontal="left" vertical="top"/>
      <protection hidden="1"/>
    </xf>
    <xf numFmtId="0" fontId="38" fillId="0" borderId="0" xfId="0" applyFont="1" applyAlignment="1">
      <alignment horizontal="center"/>
    </xf>
    <xf numFmtId="178" fontId="27" fillId="0" borderId="19" xfId="0" applyNumberFormat="1" applyFont="1" applyBorder="1" applyAlignment="1" applyProtection="1">
      <alignment horizontal="right" vertical="top"/>
      <protection hidden="1"/>
    </xf>
    <xf numFmtId="0" fontId="0" fillId="40" borderId="0" xfId="0" applyFill="1" applyBorder="1" applyAlignment="1" applyProtection="1">
      <alignment horizontal="left" vertical="top"/>
      <protection hidden="1"/>
    </xf>
    <xf numFmtId="49" fontId="0" fillId="40" borderId="0" xfId="0" applyNumberFormat="1" applyFont="1" applyFill="1" applyBorder="1" applyAlignment="1" applyProtection="1">
      <alignment horizontal="left" vertical="top"/>
      <protection hidden="1"/>
    </xf>
    <xf numFmtId="1" fontId="9" fillId="40" borderId="37" xfId="0" applyNumberFormat="1" applyFont="1" applyFill="1" applyBorder="1" applyAlignment="1" applyProtection="1">
      <alignment horizontal="center" vertical="top"/>
      <protection hidden="1"/>
    </xf>
    <xf numFmtId="1" fontId="9" fillId="40" borderId="19" xfId="0" applyNumberFormat="1" applyFont="1" applyFill="1" applyBorder="1" applyAlignment="1" applyProtection="1">
      <alignment horizontal="center" vertical="top"/>
      <protection hidden="1"/>
    </xf>
    <xf numFmtId="49" fontId="9" fillId="40" borderId="37" xfId="0" applyNumberFormat="1" applyFont="1" applyFill="1" applyBorder="1" applyAlignment="1" applyProtection="1">
      <alignment horizontal="left" vertical="top"/>
      <protection hidden="1"/>
    </xf>
    <xf numFmtId="0" fontId="0" fillId="40" borderId="37" xfId="0" applyFill="1" applyBorder="1" applyAlignment="1" applyProtection="1">
      <alignment horizontal="left" vertical="top"/>
      <protection hidden="1"/>
    </xf>
    <xf numFmtId="49" fontId="22" fillId="41" borderId="38" xfId="0" applyNumberFormat="1" applyFont="1" applyFill="1" applyBorder="1" applyAlignment="1" applyProtection="1">
      <alignment horizontal="left" vertical="top"/>
      <protection hidden="1"/>
    </xf>
    <xf numFmtId="49" fontId="22" fillId="41" borderId="39" xfId="0" applyNumberFormat="1" applyFont="1" applyFill="1" applyBorder="1" applyAlignment="1" applyProtection="1">
      <alignment horizontal="left" vertical="top"/>
      <protection hidden="1"/>
    </xf>
    <xf numFmtId="49" fontId="22" fillId="41" borderId="40" xfId="0" applyNumberFormat="1" applyFont="1" applyFill="1" applyBorder="1" applyAlignment="1" applyProtection="1">
      <alignment horizontal="left" vertical="top"/>
      <protection hidden="1"/>
    </xf>
    <xf numFmtId="49" fontId="22" fillId="41" borderId="27" xfId="0" applyNumberFormat="1" applyFont="1" applyFill="1" applyBorder="1" applyAlignment="1" applyProtection="1">
      <alignment horizontal="left" vertical="top"/>
      <protection hidden="1"/>
    </xf>
    <xf numFmtId="1" fontId="21" fillId="41" borderId="19" xfId="0" applyNumberFormat="1" applyFont="1" applyFill="1" applyBorder="1" applyAlignment="1" applyProtection="1">
      <alignment horizontal="center" vertical="top"/>
      <protection hidden="1"/>
    </xf>
    <xf numFmtId="1" fontId="21" fillId="41" borderId="18" xfId="0" applyNumberFormat="1" applyFont="1" applyFill="1" applyBorder="1" applyAlignment="1" applyProtection="1">
      <alignment horizontal="center" vertical="top"/>
      <protection hidden="1"/>
    </xf>
    <xf numFmtId="49" fontId="22" fillId="41" borderId="19" xfId="0" applyNumberFormat="1" applyFont="1" applyFill="1" applyBorder="1" applyAlignment="1" applyProtection="1">
      <alignment horizontal="left" vertical="top"/>
      <protection hidden="1"/>
    </xf>
    <xf numFmtId="49" fontId="22" fillId="41" borderId="18" xfId="0" applyNumberFormat="1" applyFont="1" applyFill="1" applyBorder="1" applyAlignment="1" applyProtection="1">
      <alignment horizontal="left" vertical="top"/>
      <protection hidden="1"/>
    </xf>
    <xf numFmtId="170" fontId="35" fillId="35" borderId="11" xfId="0" applyNumberFormat="1" applyFont="1" applyFill="1" applyBorder="1" applyAlignment="1" applyProtection="1">
      <alignment horizontal="left" vertical="top"/>
      <protection hidden="1"/>
    </xf>
    <xf numFmtId="1" fontId="9" fillId="35" borderId="37" xfId="0" applyNumberFormat="1" applyFont="1" applyFill="1" applyBorder="1" applyAlignment="1" applyProtection="1">
      <alignment horizontal="center" vertical="top"/>
      <protection hidden="1"/>
    </xf>
    <xf numFmtId="170" fontId="37" fillId="35" borderId="15" xfId="0" applyNumberFormat="1" applyFont="1" applyFill="1" applyBorder="1" applyAlignment="1" applyProtection="1">
      <alignment horizontal="center" vertical="top"/>
      <protection hidden="1"/>
    </xf>
    <xf numFmtId="0" fontId="0" fillId="0" borderId="0" xfId="0" applyFont="1" applyAlignment="1">
      <alignment/>
    </xf>
    <xf numFmtId="170" fontId="39" fillId="35" borderId="15" xfId="0" applyNumberFormat="1" applyFont="1" applyFill="1" applyBorder="1" applyAlignment="1" applyProtection="1">
      <alignment horizontal="center" vertical="top"/>
      <protection hidden="1"/>
    </xf>
    <xf numFmtId="1" fontId="10" fillId="39" borderId="11" xfId="0" applyNumberFormat="1" applyFont="1" applyFill="1" applyBorder="1" applyAlignment="1" applyProtection="1">
      <alignment horizontal="center" vertical="top" wrapText="1"/>
      <protection hidden="1"/>
    </xf>
    <xf numFmtId="1" fontId="36" fillId="39" borderId="41" xfId="0" applyNumberFormat="1" applyFont="1" applyFill="1" applyBorder="1" applyAlignment="1" applyProtection="1">
      <alignment horizontal="center" vertical="center" wrapText="1"/>
      <protection hidden="1"/>
    </xf>
    <xf numFmtId="1" fontId="10" fillId="39" borderId="19" xfId="0" applyNumberFormat="1" applyFont="1" applyFill="1" applyBorder="1" applyAlignment="1" applyProtection="1">
      <alignment horizontal="center" vertical="top" wrapText="1"/>
      <protection hidden="1"/>
    </xf>
    <xf numFmtId="1" fontId="3" fillId="39" borderId="37" xfId="0" applyNumberFormat="1" applyFont="1" applyFill="1" applyBorder="1" applyAlignment="1" applyProtection="1">
      <alignment horizontal="center" vertical="top" wrapText="1"/>
      <protection hidden="1"/>
    </xf>
    <xf numFmtId="1" fontId="3" fillId="39" borderId="18" xfId="0" applyNumberFormat="1" applyFont="1" applyFill="1" applyBorder="1" applyAlignment="1" applyProtection="1">
      <alignment horizontal="center" vertical="top" wrapText="1"/>
      <protection hidden="1"/>
    </xf>
    <xf numFmtId="49" fontId="0" fillId="37" borderId="0" xfId="0" applyNumberFormat="1" applyFont="1" applyFill="1" applyAlignment="1" applyProtection="1">
      <alignment horizontal="left" vertical="top"/>
      <protection hidden="1"/>
    </xf>
    <xf numFmtId="49" fontId="0" fillId="37" borderId="16" xfId="0" applyNumberFormat="1" applyFont="1" applyFill="1" applyBorder="1" applyAlignment="1" applyProtection="1">
      <alignment horizontal="left" vertical="top"/>
      <protection hidden="1"/>
    </xf>
    <xf numFmtId="1" fontId="9" fillId="0" borderId="32" xfId="0" applyNumberFormat="1" applyFont="1" applyBorder="1" applyAlignment="1" applyProtection="1">
      <alignment horizontal="center" vertical="top"/>
      <protection hidden="1"/>
    </xf>
    <xf numFmtId="49" fontId="9" fillId="0" borderId="37" xfId="0" applyNumberFormat="1" applyFont="1" applyBorder="1" applyAlignment="1" applyProtection="1">
      <alignment horizontal="left" vertical="top"/>
      <protection hidden="1"/>
    </xf>
    <xf numFmtId="49" fontId="9" fillId="0" borderId="37" xfId="0" applyNumberFormat="1" applyFont="1" applyFill="1" applyBorder="1" applyAlignment="1" applyProtection="1">
      <alignment horizontal="left" vertical="top"/>
      <protection hidden="1"/>
    </xf>
    <xf numFmtId="178" fontId="9" fillId="0" borderId="38" xfId="0" applyNumberFormat="1" applyFont="1" applyBorder="1" applyAlignment="1" applyProtection="1">
      <alignment horizontal="right" vertical="top"/>
      <protection hidden="1"/>
    </xf>
    <xf numFmtId="1" fontId="10" fillId="39" borderId="0" xfId="0" applyNumberFormat="1" applyFont="1" applyFill="1" applyBorder="1" applyAlignment="1" applyProtection="1">
      <alignment horizontal="center" vertical="top" wrapText="1"/>
      <protection hidden="1"/>
    </xf>
    <xf numFmtId="1" fontId="3" fillId="39" borderId="0" xfId="0" applyNumberFormat="1" applyFont="1" applyFill="1" applyBorder="1" applyAlignment="1" applyProtection="1">
      <alignment horizontal="center" vertical="top" wrapText="1"/>
      <protection hidden="1"/>
    </xf>
    <xf numFmtId="49" fontId="40" fillId="42" borderId="11" xfId="0" applyNumberFormat="1" applyFont="1" applyFill="1" applyBorder="1" applyAlignment="1" applyProtection="1">
      <alignment horizontal="center" vertical="top"/>
      <protection hidden="1" locked="0"/>
    </xf>
    <xf numFmtId="0" fontId="0" fillId="0" borderId="0" xfId="0" applyNumberFormat="1" applyAlignment="1" applyProtection="1">
      <alignment horizontal="left"/>
      <protection hidden="1"/>
    </xf>
    <xf numFmtId="49" fontId="11" fillId="34" borderId="0" xfId="0" applyNumberFormat="1" applyFont="1" applyFill="1" applyAlignment="1" applyProtection="1">
      <alignment horizontal="left" vertical="top"/>
      <protection hidden="1"/>
    </xf>
    <xf numFmtId="180" fontId="0" fillId="41" borderId="15" xfId="0" applyNumberFormat="1" applyFont="1" applyFill="1" applyBorder="1" applyAlignment="1" applyProtection="1">
      <alignment horizontal="left" vertical="top"/>
      <protection hidden="1"/>
    </xf>
    <xf numFmtId="49" fontId="0" fillId="41" borderId="0" xfId="0" applyNumberFormat="1" applyFont="1" applyFill="1" applyAlignment="1" applyProtection="1">
      <alignment horizontal="left" vertical="top"/>
      <protection hidden="1"/>
    </xf>
    <xf numFmtId="177" fontId="0" fillId="41" borderId="0" xfId="0" applyNumberFormat="1" applyFont="1" applyFill="1" applyAlignment="1" applyProtection="1">
      <alignment horizontal="left" vertical="top"/>
      <protection hidden="1"/>
    </xf>
    <xf numFmtId="1" fontId="0" fillId="41" borderId="0" xfId="43" applyNumberFormat="1" applyFont="1" applyFill="1" applyAlignment="1" applyProtection="1">
      <alignment horizontal="center" vertical="top"/>
      <protection hidden="1"/>
    </xf>
    <xf numFmtId="179" fontId="0" fillId="41" borderId="0" xfId="43" applyNumberFormat="1" applyFont="1" applyFill="1" applyAlignment="1" applyProtection="1">
      <alignment horizontal="left" vertical="top"/>
      <protection hidden="1"/>
    </xf>
    <xf numFmtId="0" fontId="0" fillId="41" borderId="0" xfId="0" applyFont="1" applyFill="1" applyAlignment="1" applyProtection="1">
      <alignment horizontal="left" vertical="top"/>
      <protection hidden="1"/>
    </xf>
    <xf numFmtId="0" fontId="0" fillId="41" borderId="13" xfId="0" applyFont="1" applyFill="1" applyBorder="1" applyAlignment="1" applyProtection="1">
      <alignment horizontal="left" vertical="top"/>
      <protection hidden="1"/>
    </xf>
    <xf numFmtId="1" fontId="0" fillId="41" borderId="0" xfId="0" applyNumberFormat="1" applyFont="1" applyFill="1" applyAlignment="1" applyProtection="1">
      <alignment horizontal="center" vertical="top"/>
      <protection hidden="1"/>
    </xf>
    <xf numFmtId="180" fontId="0" fillId="34" borderId="15" xfId="0" applyNumberFormat="1" applyFont="1" applyFill="1" applyBorder="1" applyAlignment="1" applyProtection="1">
      <alignment horizontal="left" vertical="top"/>
      <protection hidden="1"/>
    </xf>
    <xf numFmtId="0" fontId="0" fillId="0" borderId="0" xfId="0" applyFont="1" applyFill="1" applyAlignment="1" applyProtection="1">
      <alignment horizontal="left"/>
      <protection hidden="1"/>
    </xf>
    <xf numFmtId="170" fontId="9" fillId="41" borderId="15" xfId="0" applyNumberFormat="1" applyFont="1" applyFill="1" applyBorder="1" applyAlignment="1" applyProtection="1">
      <alignment horizontal="left" vertical="top"/>
      <protection hidden="1"/>
    </xf>
    <xf numFmtId="0" fontId="0" fillId="41" borderId="0" xfId="0" applyFont="1" applyFill="1" applyAlignment="1" applyProtection="1">
      <alignment horizontal="left"/>
      <protection hidden="1"/>
    </xf>
    <xf numFmtId="0" fontId="9" fillId="41" borderId="0" xfId="0" applyFont="1" applyFill="1" applyAlignment="1" applyProtection="1">
      <alignment horizontal="left"/>
      <protection hidden="1"/>
    </xf>
    <xf numFmtId="49" fontId="0" fillId="41" borderId="16" xfId="0" applyNumberFormat="1" applyFont="1" applyFill="1" applyBorder="1" applyAlignment="1" applyProtection="1">
      <alignment horizontal="left" vertical="top"/>
      <protection hidden="1"/>
    </xf>
    <xf numFmtId="49" fontId="3" fillId="34" borderId="16" xfId="0" applyNumberFormat="1" applyFont="1" applyFill="1" applyBorder="1" applyAlignment="1" applyProtection="1">
      <alignment horizontal="left" vertical="top"/>
      <protection hidden="1"/>
    </xf>
    <xf numFmtId="0" fontId="9" fillId="0" borderId="0" xfId="0" applyFont="1" applyFill="1" applyAlignment="1" applyProtection="1">
      <alignment horizontal="left"/>
      <protection hidden="1"/>
    </xf>
    <xf numFmtId="0" fontId="9" fillId="0" borderId="37" xfId="0" applyFont="1" applyBorder="1" applyAlignment="1" applyProtection="1">
      <alignment horizontal="left"/>
      <protection hidden="1"/>
    </xf>
    <xf numFmtId="0" fontId="24" fillId="0" borderId="0" xfId="0" applyFont="1" applyAlignment="1" applyProtection="1">
      <alignment horizontal="left"/>
      <protection hidden="1"/>
    </xf>
    <xf numFmtId="0" fontId="24" fillId="0" borderId="0" xfId="0" applyFont="1" applyAlignment="1">
      <alignment/>
    </xf>
    <xf numFmtId="49" fontId="24" fillId="0" borderId="0" xfId="0" applyNumberFormat="1" applyFont="1" applyAlignment="1" applyProtection="1">
      <alignment horizontal="left"/>
      <protection hidden="1"/>
    </xf>
    <xf numFmtId="0" fontId="0" fillId="0" borderId="11" xfId="0" applyFont="1" applyBorder="1" applyAlignment="1" applyProtection="1">
      <alignment horizontal="center"/>
      <protection hidden="1"/>
    </xf>
    <xf numFmtId="0" fontId="41" fillId="0" borderId="11" xfId="0" applyFont="1" applyBorder="1" applyAlignment="1">
      <alignment/>
    </xf>
    <xf numFmtId="49" fontId="9" fillId="39" borderId="16" xfId="0" applyNumberFormat="1" applyFont="1" applyFill="1" applyBorder="1" applyAlignment="1" applyProtection="1">
      <alignment horizontal="left" vertical="top"/>
      <protection hidden="1"/>
    </xf>
    <xf numFmtId="0" fontId="9" fillId="39" borderId="0" xfId="0" applyFont="1" applyFill="1" applyAlignment="1" applyProtection="1">
      <alignment horizontal="left" vertical="top"/>
      <protection hidden="1"/>
    </xf>
    <xf numFmtId="49" fontId="10" fillId="39" borderId="16" xfId="0" applyNumberFormat="1" applyFont="1" applyFill="1" applyBorder="1" applyAlignment="1" applyProtection="1">
      <alignment horizontal="left" vertical="top" wrapText="1"/>
      <protection hidden="1"/>
    </xf>
    <xf numFmtId="1" fontId="9" fillId="39" borderId="0" xfId="43" applyNumberFormat="1" applyFont="1" applyFill="1" applyBorder="1" applyAlignment="1" applyProtection="1">
      <alignment horizontal="center" vertical="top"/>
      <protection hidden="1"/>
    </xf>
    <xf numFmtId="179" fontId="9" fillId="39" borderId="0" xfId="43" applyNumberFormat="1" applyFont="1" applyFill="1" applyBorder="1" applyAlignment="1" applyProtection="1">
      <alignment horizontal="left" vertical="top"/>
      <protection hidden="1"/>
    </xf>
    <xf numFmtId="49" fontId="0" fillId="39" borderId="0" xfId="0" applyNumberFormat="1" applyFont="1" applyFill="1" applyAlignment="1" applyProtection="1">
      <alignment horizontal="left" vertical="top"/>
      <protection hidden="1"/>
    </xf>
    <xf numFmtId="49" fontId="0" fillId="39" borderId="16" xfId="0" applyNumberFormat="1" applyFont="1" applyFill="1" applyBorder="1" applyAlignment="1" applyProtection="1">
      <alignment horizontal="left" vertical="top"/>
      <protection hidden="1"/>
    </xf>
    <xf numFmtId="177" fontId="0" fillId="39" borderId="0" xfId="0" applyNumberFormat="1" applyFont="1" applyFill="1" applyAlignment="1" applyProtection="1">
      <alignment horizontal="left" vertical="top"/>
      <protection hidden="1"/>
    </xf>
    <xf numFmtId="1" fontId="0" fillId="39" borderId="0" xfId="43" applyNumberFormat="1" applyFont="1" applyFill="1" applyAlignment="1" applyProtection="1">
      <alignment horizontal="center" vertical="top"/>
      <protection hidden="1"/>
    </xf>
    <xf numFmtId="179" fontId="0" fillId="39" borderId="0" xfId="43" applyNumberFormat="1" applyFont="1" applyFill="1" applyAlignment="1" applyProtection="1">
      <alignment horizontal="left" vertical="top"/>
      <protection hidden="1"/>
    </xf>
    <xf numFmtId="49" fontId="11" fillId="39" borderId="0" xfId="0" applyNumberFormat="1" applyFont="1" applyFill="1" applyAlignment="1" applyProtection="1">
      <alignment horizontal="left" vertical="top"/>
      <protection hidden="1"/>
    </xf>
    <xf numFmtId="1" fontId="29" fillId="39" borderId="30" xfId="0" applyNumberFormat="1" applyFont="1" applyFill="1" applyBorder="1" applyAlignment="1" applyProtection="1">
      <alignment horizontal="center" vertical="top"/>
      <protection hidden="1"/>
    </xf>
    <xf numFmtId="49" fontId="30" fillId="39" borderId="0" xfId="0" applyNumberFormat="1" applyFont="1" applyFill="1" applyAlignment="1" applyProtection="1">
      <alignment horizontal="left" vertical="top"/>
      <protection hidden="1"/>
    </xf>
    <xf numFmtId="49" fontId="30" fillId="39" borderId="16" xfId="0" applyNumberFormat="1" applyFont="1" applyFill="1" applyBorder="1" applyAlignment="1" applyProtection="1">
      <alignment horizontal="left" vertical="top"/>
      <protection hidden="1"/>
    </xf>
    <xf numFmtId="177" fontId="30" fillId="39" borderId="0" xfId="0" applyNumberFormat="1" applyFont="1" applyFill="1" applyAlignment="1" applyProtection="1">
      <alignment horizontal="left" vertical="top"/>
      <protection hidden="1"/>
    </xf>
    <xf numFmtId="1" fontId="30" fillId="39" borderId="0" xfId="43" applyNumberFormat="1" applyFont="1" applyFill="1" applyAlignment="1" applyProtection="1">
      <alignment horizontal="center" vertical="top"/>
      <protection hidden="1"/>
    </xf>
    <xf numFmtId="179" fontId="30" fillId="39" borderId="0" xfId="43" applyNumberFormat="1" applyFont="1" applyFill="1" applyAlignment="1" applyProtection="1">
      <alignment horizontal="left" vertical="top"/>
      <protection hidden="1"/>
    </xf>
    <xf numFmtId="0" fontId="0" fillId="34" borderId="0" xfId="0" applyFont="1" applyFill="1" applyAlignment="1" applyProtection="1">
      <alignment horizontal="left" vertical="top"/>
      <protection hidden="1"/>
    </xf>
    <xf numFmtId="0" fontId="0" fillId="34" borderId="13" xfId="0" applyFont="1" applyFill="1" applyBorder="1" applyAlignment="1" applyProtection="1">
      <alignment horizontal="left" vertical="top"/>
      <protection hidden="1"/>
    </xf>
    <xf numFmtId="177" fontId="0" fillId="34" borderId="0" xfId="0" applyNumberFormat="1" applyFont="1" applyFill="1" applyAlignment="1" applyProtection="1">
      <alignment horizontal="left" vertical="top"/>
      <protection hidden="1"/>
    </xf>
    <xf numFmtId="1" fontId="0" fillId="34" borderId="0" xfId="0" applyNumberFormat="1" applyFont="1" applyFill="1" applyAlignment="1" applyProtection="1">
      <alignment horizontal="center" vertical="top"/>
      <protection hidden="1"/>
    </xf>
    <xf numFmtId="179" fontId="0" fillId="34" borderId="0" xfId="43" applyNumberFormat="1" applyFont="1" applyFill="1" applyAlignment="1" applyProtection="1">
      <alignment horizontal="left" vertical="top"/>
      <protection hidden="1"/>
    </xf>
    <xf numFmtId="49" fontId="0" fillId="34" borderId="0" xfId="0" applyNumberFormat="1" applyFill="1" applyAlignment="1" applyProtection="1">
      <alignment horizontal="left" vertical="top"/>
      <protection hidden="1"/>
    </xf>
    <xf numFmtId="49" fontId="0" fillId="34" borderId="16" xfId="0" applyNumberFormat="1" applyFill="1" applyBorder="1" applyAlignment="1" applyProtection="1">
      <alignment horizontal="left" vertical="top"/>
      <protection hidden="1"/>
    </xf>
    <xf numFmtId="177" fontId="0" fillId="34" borderId="0" xfId="0" applyNumberFormat="1" applyFill="1" applyAlignment="1" applyProtection="1">
      <alignment horizontal="left" vertical="top"/>
      <protection hidden="1"/>
    </xf>
    <xf numFmtId="1" fontId="0" fillId="34" borderId="0" xfId="43" applyNumberFormat="1" applyFill="1" applyAlignment="1" applyProtection="1">
      <alignment horizontal="center" vertical="top"/>
      <protection hidden="1"/>
    </xf>
    <xf numFmtId="179" fontId="0" fillId="34" borderId="0" xfId="43" applyNumberFormat="1" applyFill="1" applyAlignment="1" applyProtection="1">
      <alignment horizontal="left" vertical="top"/>
      <protection hidden="1"/>
    </xf>
    <xf numFmtId="178" fontId="9" fillId="0" borderId="19" xfId="0" applyNumberFormat="1" applyFont="1" applyFill="1" applyBorder="1" applyAlignment="1" applyProtection="1">
      <alignment horizontal="right" vertical="top"/>
      <protection hidden="1"/>
    </xf>
    <xf numFmtId="1" fontId="9" fillId="0" borderId="37" xfId="0" applyNumberFormat="1" applyFont="1" applyFill="1" applyBorder="1" applyAlignment="1" applyProtection="1">
      <alignment horizontal="center" vertical="top"/>
      <protection hidden="1"/>
    </xf>
    <xf numFmtId="0" fontId="30"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37" xfId="0" applyFill="1" applyBorder="1" applyAlignment="1" applyProtection="1">
      <alignment horizontal="left" vertical="top"/>
      <protection hidden="1"/>
    </xf>
    <xf numFmtId="2" fontId="42" fillId="0" borderId="18" xfId="60" applyNumberFormat="1" applyFont="1" applyFill="1" applyBorder="1" applyAlignment="1" applyProtection="1">
      <alignment horizontal="center" vertical="top"/>
      <protection hidden="1" locked="0"/>
    </xf>
    <xf numFmtId="2" fontId="43" fillId="0" borderId="18" xfId="60" applyNumberFormat="1" applyFont="1" applyFill="1" applyBorder="1" applyAlignment="1" applyProtection="1">
      <alignment horizontal="center" vertical="top"/>
      <protection hidden="1" locked="0"/>
    </xf>
    <xf numFmtId="49" fontId="11" fillId="41" borderId="0" xfId="0" applyNumberFormat="1" applyFont="1" applyFill="1" applyAlignment="1" applyProtection="1">
      <alignment horizontal="left" vertical="top"/>
      <protection hidden="1"/>
    </xf>
    <xf numFmtId="0" fontId="24" fillId="0" borderId="11" xfId="0" applyFont="1" applyBorder="1" applyAlignment="1" applyProtection="1">
      <alignment horizontal="left"/>
      <protection hidden="1"/>
    </xf>
    <xf numFmtId="1" fontId="25" fillId="39" borderId="30" xfId="0" applyNumberFormat="1" applyFont="1" applyFill="1" applyBorder="1" applyAlignment="1" applyProtection="1">
      <alignment horizontal="center" vertical="top"/>
      <protection hidden="1"/>
    </xf>
    <xf numFmtId="49" fontId="25" fillId="39" borderId="13" xfId="0" applyNumberFormat="1" applyFont="1" applyFill="1" applyBorder="1" applyAlignment="1" applyProtection="1">
      <alignment horizontal="left" vertical="top"/>
      <protection hidden="1"/>
    </xf>
    <xf numFmtId="49" fontId="44" fillId="39" borderId="16" xfId="0" applyNumberFormat="1" applyFont="1" applyFill="1" applyBorder="1" applyAlignment="1" applyProtection="1">
      <alignment horizontal="left" vertical="top"/>
      <protection hidden="1"/>
    </xf>
    <xf numFmtId="49" fontId="25" fillId="39" borderId="0" xfId="0" applyNumberFormat="1" applyFont="1" applyFill="1" applyAlignment="1" applyProtection="1">
      <alignment horizontal="left" vertical="top"/>
      <protection hidden="1"/>
    </xf>
    <xf numFmtId="0" fontId="13" fillId="0" borderId="0" xfId="0" applyFont="1" applyAlignment="1" applyProtection="1">
      <alignment horizontal="center"/>
      <protection hidden="1"/>
    </xf>
    <xf numFmtId="0" fontId="13" fillId="0" borderId="0" xfId="0" applyFont="1" applyAlignment="1" applyProtection="1">
      <alignment horizontal="left"/>
      <protection hidden="1"/>
    </xf>
    <xf numFmtId="170" fontId="13" fillId="0" borderId="0" xfId="0" applyNumberFormat="1" applyFont="1" applyAlignment="1" applyProtection="1">
      <alignment horizontal="left"/>
      <protection hidden="1"/>
    </xf>
    <xf numFmtId="10" fontId="45" fillId="0" borderId="0" xfId="0" applyNumberFormat="1" applyFont="1" applyAlignment="1" applyProtection="1">
      <alignment horizontal="right"/>
      <protection hidden="1"/>
    </xf>
    <xf numFmtId="0" fontId="17" fillId="39" borderId="0" xfId="0" applyFont="1" applyFill="1" applyAlignment="1" applyProtection="1">
      <alignment horizontal="right"/>
      <protection hidden="1"/>
    </xf>
    <xf numFmtId="0" fontId="17" fillId="39" borderId="0" xfId="0" applyFont="1" applyFill="1" applyAlignment="1" applyProtection="1">
      <alignment horizontal="left"/>
      <protection hidden="1"/>
    </xf>
    <xf numFmtId="1" fontId="17" fillId="39" borderId="0" xfId="0" applyNumberFormat="1" applyFont="1" applyFill="1" applyAlignment="1" applyProtection="1">
      <alignment horizontal="center" vertical="justify"/>
      <protection hidden="1"/>
    </xf>
    <xf numFmtId="0" fontId="9" fillId="39" borderId="11" xfId="0" applyNumberFormat="1" applyFont="1" applyFill="1" applyBorder="1" applyAlignment="1" applyProtection="1">
      <alignment horizontal="center" vertical="top"/>
      <protection hidden="1"/>
    </xf>
    <xf numFmtId="49" fontId="46" fillId="33" borderId="19" xfId="0" applyNumberFormat="1" applyFont="1" applyFill="1" applyBorder="1" applyAlignment="1" applyProtection="1">
      <alignment horizontal="right"/>
      <protection hidden="1"/>
    </xf>
    <xf numFmtId="2" fontId="46" fillId="34" borderId="0" xfId="0" applyNumberFormat="1" applyFont="1" applyFill="1" applyAlignment="1" applyProtection="1">
      <alignment horizontal="center"/>
      <protection hidden="1" locked="0"/>
    </xf>
    <xf numFmtId="49" fontId="11" fillId="34" borderId="13" xfId="0" applyNumberFormat="1" applyFont="1" applyFill="1" applyBorder="1" applyAlignment="1" applyProtection="1">
      <alignment horizontal="left" vertical="top" wrapText="1"/>
      <protection hidden="1"/>
    </xf>
    <xf numFmtId="49" fontId="11" fillId="34" borderId="16" xfId="0" applyNumberFormat="1" applyFont="1" applyFill="1" applyBorder="1" applyAlignment="1" applyProtection="1">
      <alignment horizontal="left" vertical="top" wrapText="1"/>
      <protection hidden="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0" xfId="0" applyBorder="1" applyAlignment="1">
      <alignment horizontal="center" vertical="top" wrapText="1"/>
    </xf>
    <xf numFmtId="0" fontId="0" fillId="0" borderId="41" xfId="0" applyBorder="1" applyAlignment="1">
      <alignment horizontal="center" vertical="top" wrapText="1"/>
    </xf>
    <xf numFmtId="0" fontId="0" fillId="0" borderId="11" xfId="0" applyBorder="1" applyAlignment="1">
      <alignment horizontal="center" vertical="top" wrapText="1"/>
    </xf>
    <xf numFmtId="1" fontId="34" fillId="39" borderId="42" xfId="0" applyNumberFormat="1" applyFont="1" applyFill="1" applyBorder="1" applyAlignment="1" applyProtection="1">
      <alignment horizontal="center" vertical="center"/>
      <protection hidden="1"/>
    </xf>
    <xf numFmtId="1" fontId="34" fillId="39" borderId="21" xfId="0" applyNumberFormat="1" applyFont="1" applyFill="1" applyBorder="1" applyAlignment="1" applyProtection="1">
      <alignment horizontal="center" vertical="center"/>
      <protection hidden="1"/>
    </xf>
    <xf numFmtId="0" fontId="0" fillId="0" borderId="0" xfId="0" applyAlignment="1" applyProtection="1">
      <alignment horizontal="center" vertical="center" wrapText="1"/>
      <protection hidden="1"/>
    </xf>
    <xf numFmtId="0" fontId="3" fillId="0" borderId="12" xfId="0" applyFont="1" applyBorder="1" applyAlignment="1">
      <alignment horizontal="center" vertical="top" wrapText="1"/>
    </xf>
    <xf numFmtId="0" fontId="3" fillId="0" borderId="21" xfId="0" applyFont="1" applyBorder="1" applyAlignment="1">
      <alignment horizontal="center" vertical="top" wrapText="1"/>
    </xf>
    <xf numFmtId="0" fontId="3" fillId="0" borderId="10" xfId="0" applyFont="1" applyBorder="1" applyAlignment="1">
      <alignment horizontal="center" vertical="top" wrapText="1"/>
    </xf>
    <xf numFmtId="0" fontId="3" fillId="0" borderId="41" xfId="0" applyFont="1" applyBorder="1" applyAlignment="1">
      <alignment horizontal="center" vertical="top" wrapText="1"/>
    </xf>
    <xf numFmtId="0" fontId="3" fillId="0" borderId="11" xfId="0" applyFont="1" applyBorder="1" applyAlignment="1">
      <alignment horizontal="center" vertical="top" wrapText="1"/>
    </xf>
    <xf numFmtId="0" fontId="3" fillId="0" borderId="40" xfId="0" applyFont="1" applyBorder="1" applyAlignment="1">
      <alignment horizontal="center" vertical="top" wrapText="1"/>
    </xf>
    <xf numFmtId="0" fontId="3" fillId="0" borderId="27" xfId="0" applyFont="1" applyBorder="1" applyAlignment="1">
      <alignment horizontal="center" vertical="top" wrapText="1"/>
    </xf>
    <xf numFmtId="0" fontId="3" fillId="0" borderId="38" xfId="0" applyFont="1" applyBorder="1" applyAlignment="1">
      <alignment horizontal="center" vertical="top" wrapText="1"/>
    </xf>
    <xf numFmtId="0" fontId="3" fillId="0" borderId="43" xfId="0" applyFont="1" applyBorder="1" applyAlignment="1">
      <alignment horizontal="center" vertical="top" wrapText="1"/>
    </xf>
    <xf numFmtId="0" fontId="3" fillId="0" borderId="39" xfId="0" applyFont="1" applyBorder="1" applyAlignment="1">
      <alignment horizontal="center" vertical="top" wrapText="1"/>
    </xf>
    <xf numFmtId="0" fontId="3" fillId="0" borderId="18" xfId="0" applyFont="1" applyBorder="1" applyAlignment="1">
      <alignment horizontal="center" vertical="top" wrapText="1"/>
    </xf>
    <xf numFmtId="0" fontId="3" fillId="0" borderId="0" xfId="0" applyNumberFormat="1" applyFont="1" applyBorder="1" applyAlignment="1" applyProtection="1">
      <alignment horizontal="center" vertical="top" wrapText="1"/>
      <protection hidden="1"/>
    </xf>
    <xf numFmtId="0" fontId="4" fillId="0" borderId="0" xfId="0" applyFont="1" applyAlignment="1" applyProtection="1">
      <alignment horizontal="left"/>
      <protection hidden="1"/>
    </xf>
    <xf numFmtId="49" fontId="20" fillId="33" borderId="0" xfId="0" applyNumberFormat="1" applyFont="1" applyFill="1" applyBorder="1" applyAlignment="1" applyProtection="1">
      <alignment horizontal="center" vertical="top" wrapText="1"/>
      <protection hidden="1" locked="0"/>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33" borderId="19" xfId="0" applyNumberFormat="1" applyFont="1" applyFill="1" applyBorder="1" applyAlignment="1" applyProtection="1">
      <alignment horizontal="center" vertical="top" wrapText="1"/>
      <protection hidden="1" locked="0"/>
    </xf>
    <xf numFmtId="0" fontId="3" fillId="33" borderId="37" xfId="0" applyNumberFormat="1" applyFont="1" applyFill="1" applyBorder="1" applyAlignment="1" applyProtection="1">
      <alignment horizontal="center" vertical="top" wrapText="1"/>
      <protection hidden="1" locked="0"/>
    </xf>
    <xf numFmtId="0" fontId="3" fillId="33" borderId="13" xfId="0" applyNumberFormat="1" applyFont="1" applyFill="1" applyBorder="1" applyAlignment="1" applyProtection="1">
      <alignment horizontal="center" vertical="top" wrapText="1"/>
      <protection hidden="1" locked="0"/>
    </xf>
    <xf numFmtId="0" fontId="3" fillId="33" borderId="40" xfId="0" applyNumberFormat="1" applyFont="1" applyFill="1" applyBorder="1" applyAlignment="1" applyProtection="1">
      <alignment horizontal="center" vertical="top" wrapText="1"/>
      <protection hidden="1" locked="0"/>
    </xf>
    <xf numFmtId="0" fontId="9" fillId="0" borderId="0" xfId="0" applyFont="1" applyAlignment="1" applyProtection="1">
      <alignment horizontal="center" vertical="center" wrapText="1"/>
      <protection hidden="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41" xfId="0" applyFont="1" applyBorder="1" applyAlignment="1">
      <alignment horizontal="center" vertical="top" wrapText="1"/>
    </xf>
    <xf numFmtId="0" fontId="5" fillId="0" borderId="11" xfId="0" applyFont="1" applyBorder="1" applyAlignment="1">
      <alignment horizontal="center" vertical="top" wrapText="1"/>
    </xf>
    <xf numFmtId="1" fontId="34" fillId="39" borderId="44" xfId="0" applyNumberFormat="1" applyFont="1" applyFill="1" applyBorder="1" applyAlignment="1" applyProtection="1">
      <alignment horizontal="center" vertical="center"/>
      <protection hidden="1"/>
    </xf>
    <xf numFmtId="1" fontId="34" fillId="39" borderId="41" xfId="0" applyNumberFormat="1" applyFont="1" applyFill="1" applyBorder="1" applyAlignment="1" applyProtection="1">
      <alignment horizontal="center" vertical="center"/>
      <protection hidden="1"/>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44" xfId="0" applyBorder="1" applyAlignment="1">
      <alignment horizontal="center" vertical="top" wrapText="1"/>
    </xf>
    <xf numFmtId="0" fontId="3" fillId="0" borderId="16" xfId="0" applyFont="1" applyBorder="1" applyAlignment="1">
      <alignment horizontal="center" vertical="top" wrapText="1"/>
    </xf>
    <xf numFmtId="0" fontId="9" fillId="0" borderId="0" xfId="0" applyFont="1" applyAlignment="1" applyProtection="1">
      <alignment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Плохой" xfId="54"/>
    <cellStyle name="Пояснение" xfId="55"/>
    <cellStyle name="Followed Hyperlink"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9"/>
      </font>
    </dxf>
    <dxf>
      <font>
        <color indexed="9"/>
      </font>
    </dxf>
    <dxf>
      <font>
        <color indexed="9"/>
      </font>
    </dxf>
    <dxf>
      <font>
        <color indexed="10"/>
      </font>
      <fill>
        <patternFill>
          <bgColor indexed="9"/>
        </patternFill>
      </fill>
    </dxf>
    <dxf>
      <font>
        <b val="0"/>
        <i val="0"/>
        <color indexed="9"/>
      </font>
    </dxf>
    <dxf>
      <font>
        <b val="0"/>
        <i val="0"/>
        <color indexed="9"/>
      </font>
    </dxf>
    <dxf>
      <font>
        <color indexed="9"/>
      </font>
      <fill>
        <patternFill>
          <bgColor indexed="9"/>
        </patternFill>
      </fill>
    </dxf>
    <dxf>
      <font>
        <color indexed="10"/>
      </font>
    </dxf>
    <dxf>
      <font>
        <color indexed="22"/>
      </font>
      <fill>
        <patternFill patternType="none">
          <bgColor indexed="65"/>
        </patternFill>
      </fill>
      <border>
        <top/>
      </border>
    </dxf>
    <dxf>
      <fill>
        <patternFill>
          <bgColor indexed="41"/>
        </patternFill>
      </fill>
      <border>
        <top style="thin"/>
        <bottom style="thin"/>
      </border>
    </dxf>
    <dxf>
      <font>
        <color indexed="10"/>
      </font>
    </dxf>
    <dxf>
      <font>
        <color indexed="22"/>
      </font>
      <fill>
        <patternFill patternType="none">
          <bgColor indexed="65"/>
        </patternFill>
      </fill>
      <border>
        <top/>
      </border>
    </dxf>
    <dxf>
      <fill>
        <patternFill>
          <bgColor indexed="9"/>
        </patternFill>
      </fill>
      <border>
        <top style="thin"/>
        <bottom style="thin"/>
      </border>
    </dxf>
    <dxf>
      <fill>
        <patternFill>
          <bgColor rgb="FFFFFFFF"/>
        </patternFill>
      </fill>
      <border>
        <top style="thin"/>
        <bottom style="thin">
          <color rgb="FF000000"/>
        </bottom>
      </border>
    </dxf>
    <dxf>
      <font>
        <color rgb="FFC0C0C0"/>
      </font>
      <fill>
        <patternFill patternType="none">
          <bgColor indexed="65"/>
        </patternFill>
      </fill>
      <border>
        <top>
          <color rgb="FF000000"/>
        </top>
      </border>
    </dxf>
    <dxf>
      <font>
        <color rgb="FFDD0806"/>
      </font>
      <border/>
    </dxf>
    <dxf>
      <fill>
        <patternFill>
          <bgColor rgb="FFCCFFFF"/>
        </patternFill>
      </fill>
      <border>
        <top style="thin"/>
        <bottom style="thin">
          <color rgb="FF000000"/>
        </bottom>
      </border>
    </dxf>
    <dxf>
      <font>
        <color rgb="FFFFFFFF"/>
      </font>
      <fill>
        <patternFill>
          <bgColor rgb="FFFFFFFF"/>
        </patternFill>
      </fill>
      <border/>
    </dxf>
    <dxf>
      <font>
        <b val="0"/>
        <i val="0"/>
        <color rgb="FFFFFFFF"/>
      </font>
      <border/>
    </dxf>
    <dxf>
      <font>
        <color rgb="FFDD0806"/>
      </font>
      <fill>
        <patternFill>
          <bgColor rgb="FFFFFFFF"/>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2</xdr:row>
      <xdr:rowOff>152400</xdr:rowOff>
    </xdr:from>
    <xdr:to>
      <xdr:col>16</xdr:col>
      <xdr:colOff>400050</xdr:colOff>
      <xdr:row>6</xdr:row>
      <xdr:rowOff>152400</xdr:rowOff>
    </xdr:to>
    <xdr:sp>
      <xdr:nvSpPr>
        <xdr:cNvPr id="1" name="WordArt 2"/>
        <xdr:cNvSpPr>
          <a:spLocks noChangeAspect="1"/>
        </xdr:cNvSpPr>
      </xdr:nvSpPr>
      <xdr:spPr>
        <a:xfrm>
          <a:off x="5324475" y="476250"/>
          <a:ext cx="3352800" cy="647700"/>
        </a:xfrm>
        <a:prstGeom prst="rect">
          <a:avLst/>
        </a:prstGeom>
        <a:noFill/>
        <a:ln w="9525" cmpd="sng">
          <a:noFill/>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rPr>
            <a:t>Адрес: 108820, г. Москва, пос. Мосрентген,
</a:t>
          </a:r>
          <a:r>
            <a:rPr lang="en-US" cap="none" sz="1400" b="0" i="0" u="none" baseline="0">
              <a:solidFill>
                <a:srgbClr val="000000"/>
              </a:solidFill>
            </a:rPr>
            <a:t> ул. Мосрентген, д.12/1 рядом парковка. 
</a:t>
          </a:r>
          <a:r>
            <a:rPr lang="en-US" cap="none" sz="1400" b="0" i="0" u="none" baseline="0">
              <a:solidFill>
                <a:srgbClr val="000000"/>
              </a:solidFill>
            </a:rPr>
            <a:t>(800м от Ярмарки "Славянский Мир" ("Мельница")
</a:t>
          </a:r>
          <a:r>
            <a:rPr lang="en-US" cap="none" sz="1400" b="0" i="0" u="none" baseline="0">
              <a:solidFill>
                <a:srgbClr val="000000"/>
              </a:solidFill>
            </a:rPr>
            <a:t>тел: 8(495) 215-09-16
</a:t>
          </a:r>
          <a:r>
            <a:rPr lang="en-US" cap="none" sz="1400" b="0" i="0" u="none" baseline="0">
              <a:solidFill>
                <a:srgbClr val="000000"/>
              </a:solidFill>
            </a:rPr>
            <a:t> www.aquafreshsystems.ru</a:t>
          </a:r>
        </a:p>
      </xdr:txBody>
    </xdr:sp>
    <xdr:clientData/>
  </xdr:twoCellAnchor>
  <xdr:oneCellAnchor>
    <xdr:from>
      <xdr:col>17</xdr:col>
      <xdr:colOff>352425</xdr:colOff>
      <xdr:row>0</xdr:row>
      <xdr:rowOff>66675</xdr:rowOff>
    </xdr:from>
    <xdr:ext cx="2609850" cy="1362075"/>
    <xdr:sp>
      <xdr:nvSpPr>
        <xdr:cNvPr id="2" name="AutoShape 4"/>
        <xdr:cNvSpPr>
          <a:spLocks/>
        </xdr:cNvSpPr>
      </xdr:nvSpPr>
      <xdr:spPr>
        <a:xfrm>
          <a:off x="9906000" y="66675"/>
          <a:ext cx="2609850" cy="1362075"/>
        </a:xfrm>
        <a:prstGeom prst="wedgeRectCallout">
          <a:avLst>
            <a:gd name="adj1" fmla="val -62254"/>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Cyr"/>
              <a:ea typeface="Arial Cyr"/>
              <a:cs typeface="Arial Cyr"/>
            </a:rPr>
            <a:t>Для расчёта стоимости системы очистки воды для загородного дома мы используем эту небольшую автоматическую табличку.
</a:t>
          </a:r>
          <a:r>
            <a:rPr lang="en-US" cap="none" sz="1000" b="0" i="0" u="none" baseline="0">
              <a:solidFill>
                <a:srgbClr val="000000"/>
              </a:solidFill>
              <a:latin typeface="Arial Cyr"/>
              <a:ea typeface="Arial Cyr"/>
              <a:cs typeface="Arial Cyr"/>
            </a:rPr>
            <a:t>Выбирая нужное количество продукции/услуг путём заполнения столбца K (кол-во), получаем стоимость системы очистки воды.
</a:t>
          </a:r>
        </a:p>
      </xdr:txBody>
    </xdr:sp>
    <xdr:clientData/>
  </xdr:oneCellAnchor>
  <xdr:oneCellAnchor>
    <xdr:from>
      <xdr:col>17</xdr:col>
      <xdr:colOff>352425</xdr:colOff>
      <xdr:row>8</xdr:row>
      <xdr:rowOff>152400</xdr:rowOff>
    </xdr:from>
    <xdr:ext cx="2705100" cy="933450"/>
    <xdr:sp>
      <xdr:nvSpPr>
        <xdr:cNvPr id="3" name="AutoShape 5"/>
        <xdr:cNvSpPr>
          <a:spLocks/>
        </xdr:cNvSpPr>
      </xdr:nvSpPr>
      <xdr:spPr>
        <a:xfrm>
          <a:off x="9906000" y="1524000"/>
          <a:ext cx="2705100" cy="933450"/>
        </a:xfrm>
        <a:prstGeom prst="wedgeRoundRectCallout">
          <a:avLst>
            <a:gd name="adj1" fmla="val -61319"/>
            <a:gd name="adj2" fmla="val 324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Cyr"/>
              <a:ea typeface="Arial Cyr"/>
              <a:cs typeface="Arial Cyr"/>
            </a:rPr>
            <a:t>Окончив выбор, кликаем по кнопке с треугольничком, и выбираем "непустые", тогда все пустые строки будут скрыты.
</a:t>
          </a:r>
          <a:r>
            <a:rPr lang="en-US" cap="none" sz="1000" b="0" i="0" u="none" baseline="0">
              <a:solidFill>
                <a:srgbClr val="000000"/>
              </a:solidFill>
              <a:latin typeface="Arial Cyr"/>
              <a:ea typeface="Arial Cyr"/>
              <a:cs typeface="Arial Cyr"/>
            </a:rPr>
            <a:t>Затем распечатываем калькуляцию.</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0;&#1085;&#1076;&#1088;&#1077;&#1081;\Application%20Data\Microsoft\AddIns\&#1044;&#1077;&#1085;&#1100;&#1075;&#1080;%20&#1087;&#1088;&#1086;&#1087;&#1080;&#1089;&#1100;&#1102;.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definedNames>
      <definedName name="Руб"/>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quafreshsystems.ru/" TargetMode="External" /><Relationship Id="rId2" Type="http://schemas.openxmlformats.org/officeDocument/2006/relationships/hyperlink" Target="http://www.aquafreshsystems.ru/"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399"/>
  <sheetViews>
    <sheetView tabSelected="1" workbookViewId="0" topLeftCell="A1">
      <selection activeCell="D387" sqref="D387"/>
    </sheetView>
  </sheetViews>
  <sheetFormatPr defaultColWidth="8.75390625" defaultRowHeight="12.75"/>
  <cols>
    <col min="1" max="1" width="9.75390625" style="1" customWidth="1"/>
    <col min="2" max="2" width="40.625" style="1" customWidth="1"/>
    <col min="3" max="3" width="27.75390625" style="1" customWidth="1"/>
    <col min="4" max="4" width="8.75390625" style="1" customWidth="1"/>
    <col min="5" max="5" width="10.75390625" style="1" hidden="1" customWidth="1"/>
    <col min="6" max="6" width="9.25390625" style="3" hidden="1" customWidth="1"/>
    <col min="7" max="7" width="10.75390625" style="1" hidden="1" customWidth="1"/>
    <col min="8" max="8" width="10.00390625" style="1" hidden="1" customWidth="1"/>
    <col min="9" max="9" width="12.25390625" style="1" hidden="1" customWidth="1"/>
    <col min="10" max="10" width="14.00390625" style="4" customWidth="1"/>
    <col min="11" max="11" width="7.75390625" style="5" customWidth="1"/>
    <col min="12" max="15" width="8.375" style="407" hidden="1" customWidth="1"/>
    <col min="16" max="16" width="11.75390625" style="1" hidden="1" customWidth="1"/>
    <col min="17" max="17" width="16.75390625" style="1" customWidth="1"/>
    <col min="18" max="16384" width="8.75390625" style="1" customWidth="1"/>
  </cols>
  <sheetData>
    <row r="1" spans="2:10" ht="12.75">
      <c r="B1" s="2" t="s">
        <v>5</v>
      </c>
      <c r="C1" s="180" t="s">
        <v>198</v>
      </c>
      <c r="D1" s="456" t="s">
        <v>187</v>
      </c>
      <c r="E1" s="457"/>
      <c r="F1" s="458"/>
      <c r="G1" s="457"/>
      <c r="H1" s="457"/>
      <c r="I1" s="457"/>
      <c r="J1" s="457">
        <v>68</v>
      </c>
    </row>
    <row r="2" spans="2:10" ht="12.75">
      <c r="B2" s="6">
        <f ca="1">NOW()</f>
        <v>43375.57692800926</v>
      </c>
      <c r="D2" s="456" t="s">
        <v>188</v>
      </c>
      <c r="E2" s="457"/>
      <c r="F2" s="458"/>
      <c r="G2" s="457"/>
      <c r="H2" s="457"/>
      <c r="I2" s="457"/>
      <c r="J2" s="457">
        <v>75</v>
      </c>
    </row>
    <row r="3" ht="12.75">
      <c r="B3" s="2" t="s">
        <v>6</v>
      </c>
    </row>
    <row r="4" ht="12.75"/>
    <row r="5" ht="12.75"/>
    <row r="6" spans="5:16" ht="12.75" customHeight="1">
      <c r="E6" s="7"/>
      <c r="F6" s="8"/>
      <c r="G6" s="9"/>
      <c r="H6" s="10"/>
      <c r="I6" s="11"/>
      <c r="J6" s="12"/>
      <c r="K6" s="13"/>
      <c r="P6" s="11"/>
    </row>
    <row r="7" spans="1:16" ht="12.75">
      <c r="A7" s="14"/>
      <c r="B7" s="15"/>
      <c r="C7" s="15"/>
      <c r="D7" s="15"/>
      <c r="E7" s="7"/>
      <c r="F7" s="8"/>
      <c r="G7" s="9"/>
      <c r="H7" s="10"/>
      <c r="I7" s="11"/>
      <c r="J7" s="285">
        <v>1.1</v>
      </c>
      <c r="K7" s="13"/>
      <c r="P7" s="11"/>
    </row>
    <row r="8" spans="1:16" ht="18.75">
      <c r="A8" s="14"/>
      <c r="B8" s="484" t="s">
        <v>7</v>
      </c>
      <c r="C8" s="484"/>
      <c r="D8" s="15"/>
      <c r="E8" s="7"/>
      <c r="F8" s="8"/>
      <c r="G8" s="9"/>
      <c r="H8" s="10"/>
      <c r="I8" s="11"/>
      <c r="J8" s="12"/>
      <c r="K8" s="13"/>
      <c r="P8" s="11"/>
    </row>
    <row r="9" spans="1:16" ht="18.75">
      <c r="A9" s="14"/>
      <c r="B9" s="16"/>
      <c r="C9" s="273"/>
      <c r="D9" s="15"/>
      <c r="E9" s="7"/>
      <c r="F9" s="8"/>
      <c r="G9" s="9"/>
      <c r="H9" s="10"/>
      <c r="I9" s="11"/>
      <c r="J9" s="12"/>
      <c r="K9" s="13"/>
      <c r="P9" s="11"/>
    </row>
    <row r="10" spans="1:17" ht="12.75">
      <c r="A10" s="14" t="s">
        <v>8</v>
      </c>
      <c r="B10" s="17" t="s">
        <v>471</v>
      </c>
      <c r="C10" s="17"/>
      <c r="D10" s="18"/>
      <c r="E10" s="19"/>
      <c r="F10" s="20"/>
      <c r="G10" s="21"/>
      <c r="H10" s="22"/>
      <c r="I10" s="23"/>
      <c r="J10" s="274"/>
      <c r="K10" s="275"/>
      <c r="L10" s="447"/>
      <c r="M10" s="447"/>
      <c r="N10" s="447"/>
      <c r="O10" s="447"/>
      <c r="P10" s="24"/>
      <c r="Q10" s="250"/>
    </row>
    <row r="11" spans="1:17" ht="12.75">
      <c r="A11" s="14" t="s">
        <v>9</v>
      </c>
      <c r="B11" s="17" t="s">
        <v>472</v>
      </c>
      <c r="C11" s="485"/>
      <c r="D11" s="485"/>
      <c r="E11" s="19"/>
      <c r="F11" s="20"/>
      <c r="G11" s="21"/>
      <c r="H11" s="22"/>
      <c r="I11" s="23"/>
      <c r="J11" s="274"/>
      <c r="K11" s="275"/>
      <c r="L11" s="447"/>
      <c r="M11" s="447"/>
      <c r="N11" s="447"/>
      <c r="O11" s="447"/>
      <c r="P11" s="24"/>
      <c r="Q11" s="250"/>
    </row>
    <row r="12" spans="1:17" ht="12.75">
      <c r="A12" s="25" t="s">
        <v>10</v>
      </c>
      <c r="B12" s="488" t="s">
        <v>473</v>
      </c>
      <c r="C12" s="485"/>
      <c r="D12" s="485"/>
      <c r="E12" s="19"/>
      <c r="F12" s="20"/>
      <c r="G12" s="21"/>
      <c r="H12" s="22"/>
      <c r="I12" s="23"/>
      <c r="J12" s="274"/>
      <c r="K12" s="275"/>
      <c r="L12" s="447"/>
      <c r="M12" s="447"/>
      <c r="N12" s="447"/>
      <c r="O12" s="447"/>
      <c r="P12" s="24"/>
      <c r="Q12" s="250"/>
    </row>
    <row r="13" spans="1:17" ht="12.75">
      <c r="A13" s="14"/>
      <c r="B13" s="489"/>
      <c r="C13" s="485"/>
      <c r="D13" s="485"/>
      <c r="E13" s="19"/>
      <c r="F13" s="20"/>
      <c r="G13" s="21"/>
      <c r="H13" s="22"/>
      <c r="I13" s="23"/>
      <c r="J13" s="274"/>
      <c r="K13" s="275"/>
      <c r="L13" s="447"/>
      <c r="M13" s="447"/>
      <c r="N13" s="447"/>
      <c r="O13" s="447"/>
      <c r="P13" s="24"/>
      <c r="Q13" s="250"/>
    </row>
    <row r="14" spans="1:17" ht="12.75">
      <c r="A14" s="14"/>
      <c r="B14" s="489"/>
      <c r="C14" s="485"/>
      <c r="D14" s="485"/>
      <c r="E14" s="19"/>
      <c r="F14" s="20"/>
      <c r="G14" s="21"/>
      <c r="H14" s="22"/>
      <c r="I14" s="26"/>
      <c r="J14" s="274"/>
      <c r="K14" s="275"/>
      <c r="L14" s="447"/>
      <c r="M14" s="447"/>
      <c r="N14" s="447"/>
      <c r="O14" s="447"/>
      <c r="P14" s="24"/>
      <c r="Q14" s="250"/>
    </row>
    <row r="15" spans="1:16" ht="12" customHeight="1">
      <c r="A15" s="14"/>
      <c r="B15" s="490"/>
      <c r="C15" s="272" t="s">
        <v>11</v>
      </c>
      <c r="D15" s="27"/>
      <c r="E15" s="7"/>
      <c r="F15" s="8"/>
      <c r="G15" s="9"/>
      <c r="H15" s="10"/>
      <c r="I15" s="11"/>
      <c r="J15" s="12"/>
      <c r="K15" s="1"/>
      <c r="P15" s="11"/>
    </row>
    <row r="16" spans="1:17" ht="12" customHeight="1">
      <c r="A16" s="14"/>
      <c r="B16" s="491"/>
      <c r="C16" s="460" t="s">
        <v>429</v>
      </c>
      <c r="D16" s="461">
        <v>20</v>
      </c>
      <c r="E16" s="7"/>
      <c r="F16" s="8"/>
      <c r="G16" s="9"/>
      <c r="H16" s="10"/>
      <c r="I16" s="11"/>
      <c r="J16" s="12"/>
      <c r="K16" s="28" t="s">
        <v>12</v>
      </c>
      <c r="P16" s="11">
        <f>I356</f>
        <v>3999.5340000000015</v>
      </c>
      <c r="Q16" s="68">
        <f>Q356</f>
        <v>301845.46329600003</v>
      </c>
    </row>
    <row r="17" spans="1:16" ht="12" customHeight="1">
      <c r="A17" s="14"/>
      <c r="B17" s="15"/>
      <c r="C17" s="272" t="s">
        <v>13</v>
      </c>
      <c r="D17" s="27"/>
      <c r="E17" s="7"/>
      <c r="F17" s="8"/>
      <c r="G17" s="9"/>
      <c r="H17" s="10"/>
      <c r="I17" s="11"/>
      <c r="J17" s="12"/>
      <c r="P17" s="11"/>
    </row>
    <row r="18" spans="3:15" ht="12" customHeight="1" thickBot="1">
      <c r="C18" s="316"/>
      <c r="J18" s="353" t="s">
        <v>356</v>
      </c>
      <c r="K18" s="353" t="s">
        <v>355</v>
      </c>
      <c r="L18" s="408"/>
      <c r="M18" s="408"/>
      <c r="N18" s="408"/>
      <c r="O18" s="408"/>
    </row>
    <row r="19" spans="1:17" ht="13.5" thickTop="1">
      <c r="A19" s="297" t="s">
        <v>14</v>
      </c>
      <c r="B19" s="298" t="s">
        <v>15</v>
      </c>
      <c r="C19" s="317" t="s">
        <v>16</v>
      </c>
      <c r="D19" s="299" t="s">
        <v>17</v>
      </c>
      <c r="E19" s="300" t="s">
        <v>18</v>
      </c>
      <c r="F19" s="301" t="s">
        <v>19</v>
      </c>
      <c r="G19" s="302" t="s">
        <v>20</v>
      </c>
      <c r="H19" s="303" t="s">
        <v>21</v>
      </c>
      <c r="I19" s="304" t="s">
        <v>18</v>
      </c>
      <c r="J19" s="296" t="s">
        <v>22</v>
      </c>
      <c r="K19" s="63" t="s">
        <v>23</v>
      </c>
      <c r="L19" s="411" t="s">
        <v>421</v>
      </c>
      <c r="M19" s="411" t="s">
        <v>421</v>
      </c>
      <c r="N19" s="411" t="s">
        <v>421</v>
      </c>
      <c r="O19" s="411" t="s">
        <v>421</v>
      </c>
      <c r="P19" s="305" t="s">
        <v>24</v>
      </c>
      <c r="Q19" s="341" t="s">
        <v>25</v>
      </c>
    </row>
    <row r="20" spans="1:17" s="29" customFormat="1" ht="24" customHeight="1">
      <c r="A20" s="469" t="s">
        <v>298</v>
      </c>
      <c r="B20" s="470"/>
      <c r="C20" s="470"/>
      <c r="D20" s="470"/>
      <c r="E20" s="470"/>
      <c r="F20" s="470"/>
      <c r="G20" s="470"/>
      <c r="H20" s="470"/>
      <c r="I20" s="470"/>
      <c r="J20" s="470"/>
      <c r="K20" s="350" t="str">
        <f>IF(Q69=0," ","Разд.00")</f>
        <v> </v>
      </c>
      <c r="L20" s="406"/>
      <c r="M20" s="406"/>
      <c r="N20" s="406"/>
      <c r="O20" s="406"/>
      <c r="P20" s="308"/>
      <c r="Q20" s="342"/>
    </row>
    <row r="21" spans="1:17" s="29" customFormat="1" ht="12.75">
      <c r="A21" s="325">
        <f aca="true" t="shared" si="0" ref="A21:A34">ROW()-18</f>
        <v>3</v>
      </c>
      <c r="B21" s="70" t="s">
        <v>299</v>
      </c>
      <c r="C21" s="289" t="s">
        <v>331</v>
      </c>
      <c r="D21" s="50"/>
      <c r="E21" s="64">
        <v>510</v>
      </c>
      <c r="F21" s="65">
        <v>10</v>
      </c>
      <c r="G21" s="66">
        <v>0</v>
      </c>
      <c r="H21" s="306">
        <f aca="true" t="shared" si="1" ref="H21:H68">I21/$L$358</f>
        <v>618.75</v>
      </c>
      <c r="I21" s="71">
        <f aca="true" t="shared" si="2" ref="I21:I68">$J$7*(E21+PRODUCT(G21,$L$358))*IF(OR(F21=1,F21=10),(100-$D$15)/100,IF(OR(F21=3,F21=6,F21=9),(100-$D$16)/100,IF(OR(F21=2,F21=4),(100-$D$17)/100,1)))</f>
        <v>561</v>
      </c>
      <c r="J21" s="186">
        <f aca="true" t="shared" si="3" ref="J21:J46">PRODUCT(I21,1/$L$358,$L$357,1.02)</f>
        <v>42916.5</v>
      </c>
      <c r="K21" s="307"/>
      <c r="L21" s="410">
        <f>IF(OR(Калькуляция!$F21=3,),3,0)</f>
        <v>0</v>
      </c>
      <c r="M21" s="410">
        <f>IF(OR(Калькуляция!$F21=6,),6,0)</f>
        <v>0</v>
      </c>
      <c r="N21" s="410">
        <f>IF(OR(Калькуляция!$F21=9,),9,0)</f>
        <v>0</v>
      </c>
      <c r="O21" s="410">
        <f>IF(OR(Калькуляция!$F21=3,Калькуляция!$F21=6,Калькуляция!$F21=9,),369,0)</f>
        <v>0</v>
      </c>
      <c r="P21" s="67">
        <f aca="true" t="shared" si="4" ref="P21:P68">I21*K21</f>
        <v>0</v>
      </c>
      <c r="Q21" s="68">
        <f aca="true" t="shared" si="5" ref="Q21:Q68">J21*K21</f>
        <v>0</v>
      </c>
    </row>
    <row r="22" spans="1:17" s="29" customFormat="1" ht="12.75">
      <c r="A22" s="325">
        <f t="shared" si="0"/>
        <v>4</v>
      </c>
      <c r="B22" s="70" t="s">
        <v>299</v>
      </c>
      <c r="C22" s="289" t="s">
        <v>343</v>
      </c>
      <c r="D22" s="50"/>
      <c r="E22" s="64">
        <v>542</v>
      </c>
      <c r="F22" s="65">
        <v>10</v>
      </c>
      <c r="G22" s="66">
        <v>0</v>
      </c>
      <c r="H22" s="306">
        <f t="shared" si="1"/>
        <v>657.5735294117648</v>
      </c>
      <c r="I22" s="71">
        <f t="shared" si="2"/>
        <v>596.2</v>
      </c>
      <c r="J22" s="186">
        <f t="shared" si="3"/>
        <v>45609.3</v>
      </c>
      <c r="K22" s="307"/>
      <c r="L22" s="410">
        <f>IF(OR(Калькуляция!$F22=3,),3,0)</f>
        <v>0</v>
      </c>
      <c r="M22" s="410">
        <f>IF(OR(Калькуляция!$F22=6,),6,0)</f>
        <v>0</v>
      </c>
      <c r="N22" s="410">
        <f>IF(OR(Калькуляция!$F22=9,),9,0)</f>
        <v>0</v>
      </c>
      <c r="O22" s="410">
        <f>IF(OR(Калькуляция!$F22=3,Калькуляция!$F22=6,Калькуляция!$F22=9,),369,0)</f>
        <v>0</v>
      </c>
      <c r="P22" s="67">
        <f t="shared" si="4"/>
        <v>0</v>
      </c>
      <c r="Q22" s="68">
        <f t="shared" si="5"/>
        <v>0</v>
      </c>
    </row>
    <row r="23" spans="1:17" s="29" customFormat="1" ht="12.75">
      <c r="A23" s="325">
        <f t="shared" si="0"/>
        <v>5</v>
      </c>
      <c r="B23" s="70" t="s">
        <v>299</v>
      </c>
      <c r="C23" s="289" t="s">
        <v>384</v>
      </c>
      <c r="D23" s="50"/>
      <c r="E23" s="64">
        <v>650</v>
      </c>
      <c r="F23" s="65">
        <v>10</v>
      </c>
      <c r="G23" s="66">
        <v>0</v>
      </c>
      <c r="H23" s="306">
        <f t="shared" si="1"/>
        <v>788.6029411764707</v>
      </c>
      <c r="I23" s="71">
        <f t="shared" si="2"/>
        <v>715.0000000000001</v>
      </c>
      <c r="J23" s="186">
        <f t="shared" si="3"/>
        <v>54697.50000000001</v>
      </c>
      <c r="K23" s="307"/>
      <c r="L23" s="410">
        <f>IF(OR(Калькуляция!$F23=3,),3,0)</f>
        <v>0</v>
      </c>
      <c r="M23" s="410">
        <f>IF(OR(Калькуляция!$F23=6,),6,0)</f>
        <v>0</v>
      </c>
      <c r="N23" s="410">
        <f>IF(OR(Калькуляция!$F23=9,),9,0)</f>
        <v>0</v>
      </c>
      <c r="O23" s="410">
        <f>IF(OR(Калькуляция!$F23=3,Калькуляция!$F23=6,Калькуляция!$F23=9,),369,0)</f>
        <v>0</v>
      </c>
      <c r="P23" s="67">
        <f t="shared" si="4"/>
        <v>0</v>
      </c>
      <c r="Q23" s="68">
        <f t="shared" si="5"/>
        <v>0</v>
      </c>
    </row>
    <row r="24" spans="1:17" s="29" customFormat="1" ht="12.75">
      <c r="A24" s="325">
        <f t="shared" si="0"/>
        <v>6</v>
      </c>
      <c r="B24" s="70" t="s">
        <v>299</v>
      </c>
      <c r="C24" s="289" t="s">
        <v>383</v>
      </c>
      <c r="D24" s="50"/>
      <c r="E24" s="64">
        <v>543</v>
      </c>
      <c r="F24" s="65">
        <v>10</v>
      </c>
      <c r="G24" s="66">
        <v>0</v>
      </c>
      <c r="H24" s="306">
        <f t="shared" si="1"/>
        <v>658.7867647058824</v>
      </c>
      <c r="I24" s="71">
        <f t="shared" si="2"/>
        <v>597.3000000000001</v>
      </c>
      <c r="J24" s="186">
        <f t="shared" si="3"/>
        <v>45693.45000000001</v>
      </c>
      <c r="K24" s="307"/>
      <c r="L24" s="410">
        <f>IF(OR(Калькуляция!$F24=3,),3,0)</f>
        <v>0</v>
      </c>
      <c r="M24" s="410">
        <f>IF(OR(Калькуляция!$F24=6,),6,0)</f>
        <v>0</v>
      </c>
      <c r="N24" s="410">
        <f>IF(OR(Калькуляция!$F24=9,),9,0)</f>
        <v>0</v>
      </c>
      <c r="O24" s="410">
        <f>IF(OR(Калькуляция!$F24=3,Калькуляция!$F24=6,Калькуляция!$F24=9,),369,0)</f>
        <v>0</v>
      </c>
      <c r="P24" s="67">
        <f t="shared" si="4"/>
        <v>0</v>
      </c>
      <c r="Q24" s="68">
        <f t="shared" si="5"/>
        <v>0</v>
      </c>
    </row>
    <row r="25" spans="1:17" s="29" customFormat="1" ht="12.75">
      <c r="A25" s="325">
        <f t="shared" si="0"/>
        <v>7</v>
      </c>
      <c r="B25" s="70" t="s">
        <v>299</v>
      </c>
      <c r="C25" s="289" t="s">
        <v>332</v>
      </c>
      <c r="D25" s="50"/>
      <c r="E25" s="64">
        <v>642</v>
      </c>
      <c r="F25" s="65">
        <v>10</v>
      </c>
      <c r="G25" s="66">
        <v>0</v>
      </c>
      <c r="H25" s="306">
        <f t="shared" si="1"/>
        <v>778.8970588235295</v>
      </c>
      <c r="I25" s="71">
        <f t="shared" si="2"/>
        <v>706.2</v>
      </c>
      <c r="J25" s="186">
        <f t="shared" si="3"/>
        <v>54024.30000000001</v>
      </c>
      <c r="K25" s="307"/>
      <c r="L25" s="410">
        <f>IF(OR(Калькуляция!$F25=3,),3,0)</f>
        <v>0</v>
      </c>
      <c r="M25" s="410">
        <f>IF(OR(Калькуляция!$F25=6,),6,0)</f>
        <v>0</v>
      </c>
      <c r="N25" s="410">
        <f>IF(OR(Калькуляция!$F25=9,),9,0)</f>
        <v>0</v>
      </c>
      <c r="O25" s="410">
        <f>IF(OR(Калькуляция!$F25=3,Калькуляция!$F25=6,Калькуляция!$F25=9,),369,0)</f>
        <v>0</v>
      </c>
      <c r="P25" s="67">
        <f t="shared" si="4"/>
        <v>0</v>
      </c>
      <c r="Q25" s="68">
        <f t="shared" si="5"/>
        <v>0</v>
      </c>
    </row>
    <row r="26" spans="1:17" s="29" customFormat="1" ht="12.75">
      <c r="A26" s="325">
        <f t="shared" si="0"/>
        <v>8</v>
      </c>
      <c r="B26" s="70" t="s">
        <v>299</v>
      </c>
      <c r="C26" s="289" t="s">
        <v>381</v>
      </c>
      <c r="D26" s="50"/>
      <c r="E26" s="64">
        <v>753</v>
      </c>
      <c r="F26" s="65">
        <v>10</v>
      </c>
      <c r="G26" s="66">
        <v>0</v>
      </c>
      <c r="H26" s="306">
        <f t="shared" si="1"/>
        <v>913.5661764705884</v>
      </c>
      <c r="I26" s="71">
        <f t="shared" si="2"/>
        <v>828.3000000000001</v>
      </c>
      <c r="J26" s="186">
        <f t="shared" si="3"/>
        <v>63364.95000000002</v>
      </c>
      <c r="K26" s="307"/>
      <c r="L26" s="410">
        <f>IF(OR(Калькуляция!$F26=3,),3,0)</f>
        <v>0</v>
      </c>
      <c r="M26" s="410">
        <f>IF(OR(Калькуляция!$F26=6,),6,0)</f>
        <v>0</v>
      </c>
      <c r="N26" s="410">
        <f>IF(OR(Калькуляция!$F26=9,),9,0)</f>
        <v>0</v>
      </c>
      <c r="O26" s="410">
        <f>IF(OR(Калькуляция!$F26=3,Калькуляция!$F26=6,Калькуляция!$F26=9,),369,0)</f>
        <v>0</v>
      </c>
      <c r="P26" s="67">
        <f t="shared" si="4"/>
        <v>0</v>
      </c>
      <c r="Q26" s="68">
        <f t="shared" si="5"/>
        <v>0</v>
      </c>
    </row>
    <row r="27" spans="1:17" s="29" customFormat="1" ht="12.75">
      <c r="A27" s="325">
        <f t="shared" si="0"/>
        <v>9</v>
      </c>
      <c r="B27" s="70" t="s">
        <v>299</v>
      </c>
      <c r="C27" s="289" t="s">
        <v>382</v>
      </c>
      <c r="D27" s="50"/>
      <c r="E27" s="64">
        <v>825</v>
      </c>
      <c r="F27" s="65">
        <v>10</v>
      </c>
      <c r="G27" s="66">
        <v>0</v>
      </c>
      <c r="H27" s="306">
        <f t="shared" si="1"/>
        <v>1000.919117647059</v>
      </c>
      <c r="I27" s="71">
        <f t="shared" si="2"/>
        <v>907.5000000000001</v>
      </c>
      <c r="J27" s="186">
        <f t="shared" si="3"/>
        <v>69423.75000000001</v>
      </c>
      <c r="K27" s="307"/>
      <c r="L27" s="410">
        <f>IF(OR(Калькуляция!$F27=3,),3,0)</f>
        <v>0</v>
      </c>
      <c r="M27" s="410">
        <f>IF(OR(Калькуляция!$F27=6,),6,0)</f>
        <v>0</v>
      </c>
      <c r="N27" s="410">
        <f>IF(OR(Калькуляция!$F27=9,),9,0)</f>
        <v>0</v>
      </c>
      <c r="O27" s="410">
        <f>IF(OR(Калькуляция!$F27=3,Калькуляция!$F27=6,Калькуляция!$F27=9,),369,0)</f>
        <v>0</v>
      </c>
      <c r="P27" s="67">
        <f t="shared" si="4"/>
        <v>0</v>
      </c>
      <c r="Q27" s="68">
        <f t="shared" si="5"/>
        <v>0</v>
      </c>
    </row>
    <row r="28" spans="1:17" s="29" customFormat="1" ht="12.75">
      <c r="A28" s="325">
        <f t="shared" si="0"/>
        <v>10</v>
      </c>
      <c r="B28" s="70" t="s">
        <v>299</v>
      </c>
      <c r="C28" s="289" t="s">
        <v>333</v>
      </c>
      <c r="D28" s="50"/>
      <c r="E28" s="64">
        <v>845</v>
      </c>
      <c r="F28" s="65">
        <v>10</v>
      </c>
      <c r="G28" s="66">
        <v>0</v>
      </c>
      <c r="H28" s="306">
        <f t="shared" si="1"/>
        <v>1025.183823529412</v>
      </c>
      <c r="I28" s="71">
        <f t="shared" si="2"/>
        <v>929.5000000000001</v>
      </c>
      <c r="J28" s="186">
        <f t="shared" si="3"/>
        <v>71106.75000000001</v>
      </c>
      <c r="K28" s="307"/>
      <c r="L28" s="410">
        <f>IF(OR(Калькуляция!$F28=3,),3,0)</f>
        <v>0</v>
      </c>
      <c r="M28" s="410">
        <f>IF(OR(Калькуляция!$F28=6,),6,0)</f>
        <v>0</v>
      </c>
      <c r="N28" s="410">
        <f>IF(OR(Калькуляция!$F28=9,),9,0)</f>
        <v>0</v>
      </c>
      <c r="O28" s="410">
        <f>IF(OR(Калькуляция!$F28=3,Калькуляция!$F28=6,Калькуляция!$F28=9,),369,0)</f>
        <v>0</v>
      </c>
      <c r="P28" s="67">
        <f t="shared" si="4"/>
        <v>0</v>
      </c>
      <c r="Q28" s="68">
        <f t="shared" si="5"/>
        <v>0</v>
      </c>
    </row>
    <row r="29" spans="1:17" s="29" customFormat="1" ht="12.75">
      <c r="A29" s="325">
        <f t="shared" si="0"/>
        <v>11</v>
      </c>
      <c r="B29" s="70" t="s">
        <v>299</v>
      </c>
      <c r="C29" s="289" t="s">
        <v>344</v>
      </c>
      <c r="D29" s="50"/>
      <c r="E29" s="64">
        <v>1000</v>
      </c>
      <c r="F29" s="65">
        <v>10</v>
      </c>
      <c r="G29" s="66">
        <v>0</v>
      </c>
      <c r="H29" s="306">
        <f t="shared" si="1"/>
        <v>1213.235294117647</v>
      </c>
      <c r="I29" s="71">
        <f t="shared" si="2"/>
        <v>1100</v>
      </c>
      <c r="J29" s="186">
        <f t="shared" si="3"/>
        <v>84150</v>
      </c>
      <c r="K29" s="307"/>
      <c r="L29" s="410">
        <f>IF(OR(Калькуляция!$F29=3,),3,0)</f>
        <v>0</v>
      </c>
      <c r="M29" s="410">
        <f>IF(OR(Калькуляция!$F29=6,),6,0)</f>
        <v>0</v>
      </c>
      <c r="N29" s="410">
        <f>IF(OR(Калькуляция!$F29=9,),9,0)</f>
        <v>0</v>
      </c>
      <c r="O29" s="410">
        <f>IF(OR(Калькуляция!$F29=3,Калькуляция!$F29=6,Калькуляция!$F29=9,),369,0)</f>
        <v>0</v>
      </c>
      <c r="P29" s="67">
        <f t="shared" si="4"/>
        <v>0</v>
      </c>
      <c r="Q29" s="68">
        <f t="shared" si="5"/>
        <v>0</v>
      </c>
    </row>
    <row r="30" spans="1:17" s="30" customFormat="1" ht="12.75">
      <c r="A30" s="329">
        <f t="shared" si="0"/>
        <v>12</v>
      </c>
      <c r="B30" s="379" t="s">
        <v>370</v>
      </c>
      <c r="C30" s="380"/>
      <c r="D30" s="59" t="s">
        <v>36</v>
      </c>
      <c r="E30" s="141">
        <v>160</v>
      </c>
      <c r="F30" s="142">
        <v>3</v>
      </c>
      <c r="G30" s="143">
        <v>0</v>
      </c>
      <c r="H30" s="138">
        <f t="shared" si="1"/>
        <v>155.29411764705884</v>
      </c>
      <c r="I30" s="71">
        <f t="shared" si="2"/>
        <v>140.8</v>
      </c>
      <c r="J30" s="62">
        <f t="shared" si="3"/>
        <v>10771.200000000003</v>
      </c>
      <c r="K30" s="307"/>
      <c r="L30" s="410">
        <f>IF(OR(Калькуляция!$F30=3,),3,0)</f>
        <v>3</v>
      </c>
      <c r="M30" s="410">
        <f>IF(OR(Калькуляция!$F30=6,),6,0)</f>
        <v>0</v>
      </c>
      <c r="N30" s="410">
        <f>IF(OR(Калькуляция!$F30=9,),9,0)</f>
        <v>0</v>
      </c>
      <c r="O30" s="410">
        <f>IF(OR(Калькуляция!$F30=3,Калькуляция!$F30=6,Калькуляция!$F30=9,),369,0)</f>
        <v>369</v>
      </c>
      <c r="P30" s="144">
        <f t="shared" si="4"/>
        <v>0</v>
      </c>
      <c r="Q30" s="68">
        <f t="shared" si="5"/>
        <v>0</v>
      </c>
    </row>
    <row r="31" spans="1:17" s="30" customFormat="1" ht="12.75">
      <c r="A31" s="335">
        <f t="shared" si="0"/>
        <v>13</v>
      </c>
      <c r="B31" s="57" t="s">
        <v>367</v>
      </c>
      <c r="C31" s="351" t="s">
        <v>369</v>
      </c>
      <c r="D31" s="57" t="s">
        <v>27</v>
      </c>
      <c r="E31" s="141">
        <v>230</v>
      </c>
      <c r="F31" s="142">
        <v>10</v>
      </c>
      <c r="G31" s="143">
        <v>0</v>
      </c>
      <c r="H31" s="138">
        <f t="shared" si="1"/>
        <v>279.0441176470589</v>
      </c>
      <c r="I31" s="71">
        <f t="shared" si="2"/>
        <v>253.00000000000003</v>
      </c>
      <c r="J31" s="62">
        <f t="shared" si="3"/>
        <v>19354.500000000004</v>
      </c>
      <c r="K31" s="307"/>
      <c r="L31" s="410">
        <f>IF(OR(Калькуляция!$F31=3,),3,0)</f>
        <v>0</v>
      </c>
      <c r="M31" s="410">
        <f>IF(OR(Калькуляция!$F31=6,),6,0)</f>
        <v>0</v>
      </c>
      <c r="N31" s="410">
        <f>IF(OR(Калькуляция!$F31=9,),9,0)</f>
        <v>0</v>
      </c>
      <c r="O31" s="410">
        <f>IF(OR(Калькуляция!$F31=3,Калькуляция!$F31=6,Калькуляция!$F31=9,),369,0)</f>
        <v>0</v>
      </c>
      <c r="P31" s="139">
        <f t="shared" si="4"/>
        <v>0</v>
      </c>
      <c r="Q31" s="68">
        <f t="shared" si="5"/>
        <v>0</v>
      </c>
    </row>
    <row r="32" spans="1:17" s="30" customFormat="1" ht="12.75">
      <c r="A32" s="335">
        <f t="shared" si="0"/>
        <v>14</v>
      </c>
      <c r="B32" s="57" t="s">
        <v>368</v>
      </c>
      <c r="C32" s="140"/>
      <c r="D32" s="57" t="s">
        <v>36</v>
      </c>
      <c r="E32" s="141">
        <v>100</v>
      </c>
      <c r="F32" s="142">
        <v>3</v>
      </c>
      <c r="G32" s="143">
        <v>0</v>
      </c>
      <c r="H32" s="138">
        <f t="shared" si="1"/>
        <v>97.05882352941178</v>
      </c>
      <c r="I32" s="71">
        <f t="shared" si="2"/>
        <v>88.00000000000001</v>
      </c>
      <c r="J32" s="62">
        <f t="shared" si="3"/>
        <v>6732.000000000001</v>
      </c>
      <c r="K32" s="307"/>
      <c r="L32" s="410">
        <f>IF(OR(Калькуляция!$F32=3,),3,0)</f>
        <v>3</v>
      </c>
      <c r="M32" s="410">
        <f>IF(OR(Калькуляция!$F32=6,),6,0)</f>
        <v>0</v>
      </c>
      <c r="N32" s="410">
        <f>IF(OR(Калькуляция!$F32=9,),9,0)</f>
        <v>0</v>
      </c>
      <c r="O32" s="410">
        <f>IF(OR(Калькуляция!$F32=3,Калькуляция!$F32=6,Калькуляция!$F32=9,),369,0)</f>
        <v>369</v>
      </c>
      <c r="P32" s="144">
        <f t="shared" si="4"/>
        <v>0</v>
      </c>
      <c r="Q32" s="68">
        <f t="shared" si="5"/>
        <v>0</v>
      </c>
    </row>
    <row r="33" spans="1:17" s="30" customFormat="1" ht="12.75">
      <c r="A33" s="335">
        <f t="shared" si="0"/>
        <v>15</v>
      </c>
      <c r="B33" s="57" t="s">
        <v>347</v>
      </c>
      <c r="C33" s="387" t="s">
        <v>385</v>
      </c>
      <c r="D33" s="56" t="s">
        <v>27</v>
      </c>
      <c r="E33" s="141">
        <v>540</v>
      </c>
      <c r="F33" s="142">
        <v>10</v>
      </c>
      <c r="G33" s="143">
        <v>0</v>
      </c>
      <c r="H33" s="138">
        <f t="shared" si="1"/>
        <v>655.1470588235294</v>
      </c>
      <c r="I33" s="71">
        <f t="shared" si="2"/>
        <v>594</v>
      </c>
      <c r="J33" s="62">
        <f t="shared" si="3"/>
        <v>45441.00000000001</v>
      </c>
      <c r="K33" s="307"/>
      <c r="L33" s="410">
        <f>IF(OR(Калькуляция!$F33=3,),3,0)</f>
        <v>0</v>
      </c>
      <c r="M33" s="410">
        <f>IF(OR(Калькуляция!$F33=6,),6,0)</f>
        <v>0</v>
      </c>
      <c r="N33" s="410">
        <f>IF(OR(Калькуляция!$F33=9,),9,0)</f>
        <v>0</v>
      </c>
      <c r="O33" s="410">
        <f>IF(OR(Калькуляция!$F33=3,Калькуляция!$F33=6,Калькуляция!$F33=9,),369,0)</f>
        <v>0</v>
      </c>
      <c r="P33" s="139">
        <f t="shared" si="4"/>
        <v>0</v>
      </c>
      <c r="Q33" s="68">
        <f t="shared" si="5"/>
        <v>0</v>
      </c>
    </row>
    <row r="34" spans="1:17" s="30" customFormat="1" ht="12.75">
      <c r="A34" s="335">
        <f t="shared" si="0"/>
        <v>16</v>
      </c>
      <c r="B34" s="57" t="s">
        <v>335</v>
      </c>
      <c r="C34" s="140" t="s">
        <v>336</v>
      </c>
      <c r="D34" s="57" t="s">
        <v>36</v>
      </c>
      <c r="E34" s="141">
        <v>160</v>
      </c>
      <c r="F34" s="142">
        <v>3</v>
      </c>
      <c r="G34" s="143">
        <v>0</v>
      </c>
      <c r="H34" s="138">
        <f t="shared" si="1"/>
        <v>155.29411764705884</v>
      </c>
      <c r="I34" s="71">
        <f t="shared" si="2"/>
        <v>140.8</v>
      </c>
      <c r="J34" s="62">
        <f t="shared" si="3"/>
        <v>10771.200000000003</v>
      </c>
      <c r="K34" s="307"/>
      <c r="L34" s="410">
        <f>IF(OR(Калькуляция!$F34=3,),3,0)</f>
        <v>3</v>
      </c>
      <c r="M34" s="410">
        <f>IF(OR(Калькуляция!$F34=6,),6,0)</f>
        <v>0</v>
      </c>
      <c r="N34" s="410">
        <f>IF(OR(Калькуляция!$F34=9,),9,0)</f>
        <v>0</v>
      </c>
      <c r="O34" s="410">
        <f>IF(OR(Калькуляция!$F34=3,Калькуляция!$F34=6,Калькуляция!$F34=9,),369,0)</f>
        <v>369</v>
      </c>
      <c r="P34" s="144">
        <f t="shared" si="4"/>
        <v>0</v>
      </c>
      <c r="Q34" s="68">
        <f t="shared" si="5"/>
        <v>0</v>
      </c>
    </row>
    <row r="35" spans="1:17" s="30" customFormat="1" ht="12.75">
      <c r="A35" s="335">
        <f aca="true" t="shared" si="6" ref="A35:A40">ROW()-18</f>
        <v>17</v>
      </c>
      <c r="B35" s="57" t="s">
        <v>318</v>
      </c>
      <c r="C35" s="351" t="s">
        <v>345</v>
      </c>
      <c r="D35" s="57" t="s">
        <v>27</v>
      </c>
      <c r="E35" s="141">
        <v>100</v>
      </c>
      <c r="F35" s="142">
        <v>10</v>
      </c>
      <c r="G35" s="143">
        <v>0</v>
      </c>
      <c r="H35" s="138">
        <f t="shared" si="1"/>
        <v>121.32352941176472</v>
      </c>
      <c r="I35" s="71">
        <f t="shared" si="2"/>
        <v>110.00000000000001</v>
      </c>
      <c r="J35" s="62">
        <f t="shared" si="3"/>
        <v>8415.000000000002</v>
      </c>
      <c r="K35" s="444"/>
      <c r="L35" s="410">
        <f>IF(OR(Калькуляция!$F35=3,),3,0)</f>
        <v>0</v>
      </c>
      <c r="M35" s="410">
        <f>IF(OR(Калькуляция!$F35=6,),6,0)</f>
        <v>0</v>
      </c>
      <c r="N35" s="410">
        <f>IF(OR(Калькуляция!$F35=9,),9,0)</f>
        <v>0</v>
      </c>
      <c r="O35" s="410">
        <f>IF(OR(Калькуляция!$F35=3,Калькуляция!$F35=6,Калькуляция!$F35=9,),369,0)</f>
        <v>0</v>
      </c>
      <c r="P35" s="139">
        <f t="shared" si="4"/>
        <v>0</v>
      </c>
      <c r="Q35" s="68">
        <f t="shared" si="5"/>
        <v>0</v>
      </c>
    </row>
    <row r="36" spans="1:17" s="30" customFormat="1" ht="12.75">
      <c r="A36" s="335">
        <f t="shared" si="6"/>
        <v>18</v>
      </c>
      <c r="B36" s="57" t="s">
        <v>319</v>
      </c>
      <c r="C36" s="351" t="s">
        <v>346</v>
      </c>
      <c r="D36" s="57" t="s">
        <v>27</v>
      </c>
      <c r="E36" s="141">
        <v>190</v>
      </c>
      <c r="F36" s="142">
        <v>1</v>
      </c>
      <c r="G36" s="143">
        <v>0</v>
      </c>
      <c r="H36" s="138">
        <f t="shared" si="1"/>
        <v>230.51470588235298</v>
      </c>
      <c r="I36" s="71">
        <f t="shared" si="2"/>
        <v>209.00000000000003</v>
      </c>
      <c r="J36" s="62">
        <f t="shared" si="3"/>
        <v>15988.500000000004</v>
      </c>
      <c r="K36" s="307"/>
      <c r="L36" s="410">
        <f>IF(OR(Калькуляция!$F36=3,),3,0)</f>
        <v>0</v>
      </c>
      <c r="M36" s="410">
        <f>IF(OR(Калькуляция!$F36=6,),6,0)</f>
        <v>0</v>
      </c>
      <c r="N36" s="410">
        <f>IF(OR(Калькуляция!$F36=9,),9,0)</f>
        <v>0</v>
      </c>
      <c r="O36" s="410">
        <f>IF(OR(Калькуляция!$F36=3,Калькуляция!$F36=6,Калькуляция!$F36=9,),369,0)</f>
        <v>0</v>
      </c>
      <c r="P36" s="139">
        <f t="shared" si="4"/>
        <v>0</v>
      </c>
      <c r="Q36" s="68">
        <f t="shared" si="5"/>
        <v>0</v>
      </c>
    </row>
    <row r="37" spans="1:17" s="30" customFormat="1" ht="12.75">
      <c r="A37" s="335">
        <f t="shared" si="6"/>
        <v>19</v>
      </c>
      <c r="B37" s="57" t="s">
        <v>420</v>
      </c>
      <c r="C37" s="351" t="s">
        <v>321</v>
      </c>
      <c r="D37" s="57" t="s">
        <v>339</v>
      </c>
      <c r="E37" s="141">
        <v>1.5</v>
      </c>
      <c r="F37" s="142">
        <v>10</v>
      </c>
      <c r="G37" s="143">
        <v>0</v>
      </c>
      <c r="H37" s="138">
        <f t="shared" si="1"/>
        <v>1.8198529411764708</v>
      </c>
      <c r="I37" s="71">
        <f t="shared" si="2"/>
        <v>1.6500000000000001</v>
      </c>
      <c r="J37" s="62">
        <f t="shared" si="3"/>
        <v>126.22500000000002</v>
      </c>
      <c r="K37" s="307"/>
      <c r="L37" s="410">
        <f>IF(OR(Калькуляция!$F37=3,),3,0)</f>
        <v>0</v>
      </c>
      <c r="M37" s="410">
        <f>IF(OR(Калькуляция!$F37=6,),6,0)</f>
        <v>0</v>
      </c>
      <c r="N37" s="410">
        <f>IF(OR(Калькуляция!$F37=9,),9,0)</f>
        <v>0</v>
      </c>
      <c r="O37" s="410">
        <f>IF(OR(Калькуляция!$F37=3,Калькуляция!$F37=6,Калькуляция!$F37=9,),369,0)</f>
        <v>0</v>
      </c>
      <c r="P37" s="139">
        <f t="shared" si="4"/>
        <v>0</v>
      </c>
      <c r="Q37" s="68">
        <f t="shared" si="5"/>
        <v>0</v>
      </c>
    </row>
    <row r="38" spans="1:17" s="30" customFormat="1" ht="12.75">
      <c r="A38" s="335">
        <f t="shared" si="6"/>
        <v>20</v>
      </c>
      <c r="B38" s="57" t="s">
        <v>419</v>
      </c>
      <c r="C38" s="351" t="s">
        <v>322</v>
      </c>
      <c r="D38" s="57" t="s">
        <v>339</v>
      </c>
      <c r="E38" s="141">
        <v>2.2</v>
      </c>
      <c r="F38" s="142">
        <v>10</v>
      </c>
      <c r="G38" s="143">
        <v>0</v>
      </c>
      <c r="H38" s="138">
        <f t="shared" si="1"/>
        <v>2.6691176470588243</v>
      </c>
      <c r="I38" s="71">
        <f t="shared" si="2"/>
        <v>2.4200000000000004</v>
      </c>
      <c r="J38" s="62">
        <f t="shared" si="3"/>
        <v>185.13000000000005</v>
      </c>
      <c r="K38" s="307"/>
      <c r="L38" s="410">
        <f>IF(OR(Калькуляция!$F38=3,),3,0)</f>
        <v>0</v>
      </c>
      <c r="M38" s="410">
        <f>IF(OR(Калькуляция!$F38=6,),6,0)</f>
        <v>0</v>
      </c>
      <c r="N38" s="410">
        <f>IF(OR(Калькуляция!$F38=9,),9,0)</f>
        <v>0</v>
      </c>
      <c r="O38" s="410">
        <f>IF(OR(Калькуляция!$F38=3,Калькуляция!$F38=6,Калькуляция!$F38=9,),369,0)</f>
        <v>0</v>
      </c>
      <c r="P38" s="139">
        <f t="shared" si="4"/>
        <v>0</v>
      </c>
      <c r="Q38" s="68">
        <f t="shared" si="5"/>
        <v>0</v>
      </c>
    </row>
    <row r="39" spans="1:17" s="30" customFormat="1" ht="12.75">
      <c r="A39" s="335">
        <f t="shared" si="6"/>
        <v>21</v>
      </c>
      <c r="B39" s="57" t="s">
        <v>320</v>
      </c>
      <c r="C39" s="351" t="s">
        <v>321</v>
      </c>
      <c r="D39" s="57" t="s">
        <v>339</v>
      </c>
      <c r="E39" s="141">
        <v>1.5</v>
      </c>
      <c r="F39" s="142">
        <v>10</v>
      </c>
      <c r="G39" s="143">
        <v>0</v>
      </c>
      <c r="H39" s="138">
        <f t="shared" si="1"/>
        <v>1.8198529411764708</v>
      </c>
      <c r="I39" s="71">
        <f t="shared" si="2"/>
        <v>1.6500000000000001</v>
      </c>
      <c r="J39" s="62">
        <f t="shared" si="3"/>
        <v>126.22500000000002</v>
      </c>
      <c r="K39" s="307"/>
      <c r="L39" s="410">
        <f>IF(OR(Калькуляция!$F39=3,),3,0)</f>
        <v>0</v>
      </c>
      <c r="M39" s="410">
        <f>IF(OR(Калькуляция!$F39=6,),6,0)</f>
        <v>0</v>
      </c>
      <c r="N39" s="410">
        <f>IF(OR(Калькуляция!$F39=9,),9,0)</f>
        <v>0</v>
      </c>
      <c r="O39" s="410">
        <f>IF(OR(Калькуляция!$F39=3,Калькуляция!$F39=6,Калькуляция!$F39=9,),369,0)</f>
        <v>0</v>
      </c>
      <c r="P39" s="139">
        <f t="shared" si="4"/>
        <v>0</v>
      </c>
      <c r="Q39" s="68">
        <f t="shared" si="5"/>
        <v>0</v>
      </c>
    </row>
    <row r="40" spans="1:17" s="30" customFormat="1" ht="12.75">
      <c r="A40" s="335">
        <f t="shared" si="6"/>
        <v>22</v>
      </c>
      <c r="B40" s="57" t="s">
        <v>320</v>
      </c>
      <c r="C40" s="351" t="s">
        <v>322</v>
      </c>
      <c r="D40" s="57" t="s">
        <v>339</v>
      </c>
      <c r="E40" s="141">
        <v>2.2</v>
      </c>
      <c r="F40" s="142">
        <v>10</v>
      </c>
      <c r="G40" s="143">
        <v>0</v>
      </c>
      <c r="H40" s="138">
        <f t="shared" si="1"/>
        <v>2.6691176470588243</v>
      </c>
      <c r="I40" s="71">
        <f t="shared" si="2"/>
        <v>2.4200000000000004</v>
      </c>
      <c r="J40" s="62">
        <f t="shared" si="3"/>
        <v>185.13000000000005</v>
      </c>
      <c r="K40" s="445"/>
      <c r="L40" s="410">
        <f>IF(OR(Калькуляция!$F40=3,),3,0)</f>
        <v>0</v>
      </c>
      <c r="M40" s="410">
        <f>IF(OR(Калькуляция!$F40=6,),6,0)</f>
        <v>0</v>
      </c>
      <c r="N40" s="410">
        <f>IF(OR(Калькуляция!$F40=9,),9,0)</f>
        <v>0</v>
      </c>
      <c r="O40" s="410">
        <f>IF(OR(Калькуляция!$F40=3,Калькуляция!$F40=6,Калькуляция!$F40=9,),369,0)</f>
        <v>0</v>
      </c>
      <c r="P40" s="139">
        <f t="shared" si="4"/>
        <v>0</v>
      </c>
      <c r="Q40" s="68">
        <f t="shared" si="5"/>
        <v>0</v>
      </c>
    </row>
    <row r="41" spans="1:17" s="30" customFormat="1" ht="12.75">
      <c r="A41" s="335">
        <f aca="true" t="shared" si="7" ref="A41:A68">ROW()-18</f>
        <v>23</v>
      </c>
      <c r="B41" s="57" t="s">
        <v>348</v>
      </c>
      <c r="C41" s="352"/>
      <c r="D41" s="57" t="s">
        <v>339</v>
      </c>
      <c r="E41" s="141">
        <v>1.3</v>
      </c>
      <c r="F41" s="142">
        <v>10</v>
      </c>
      <c r="G41" s="143">
        <v>0</v>
      </c>
      <c r="H41" s="138">
        <f t="shared" si="1"/>
        <v>1.5772058823529413</v>
      </c>
      <c r="I41" s="71">
        <f t="shared" si="2"/>
        <v>1.4300000000000002</v>
      </c>
      <c r="J41" s="62">
        <f t="shared" si="3"/>
        <v>109.39500000000002</v>
      </c>
      <c r="K41" s="307"/>
      <c r="L41" s="410">
        <f>IF(OR(Калькуляция!$F41=3,),3,0)</f>
        <v>0</v>
      </c>
      <c r="M41" s="410">
        <f>IF(OR(Калькуляция!$F41=6,),6,0)</f>
        <v>0</v>
      </c>
      <c r="N41" s="410">
        <f>IF(OR(Калькуляция!$F41=9,),9,0)</f>
        <v>0</v>
      </c>
      <c r="O41" s="410">
        <f>IF(OR(Калькуляция!$F41=3,Калькуляция!$F41=6,Калькуляция!$F41=9,),369,0)</f>
        <v>0</v>
      </c>
      <c r="P41" s="139">
        <f t="shared" si="4"/>
        <v>0</v>
      </c>
      <c r="Q41" s="68">
        <f t="shared" si="5"/>
        <v>0</v>
      </c>
    </row>
    <row r="42" spans="1:17" s="30" customFormat="1" ht="12.75">
      <c r="A42" s="335">
        <f t="shared" si="7"/>
        <v>24</v>
      </c>
      <c r="B42" s="57" t="s">
        <v>349</v>
      </c>
      <c r="C42" s="404" t="s">
        <v>418</v>
      </c>
      <c r="D42" s="57" t="s">
        <v>339</v>
      </c>
      <c r="E42" s="141">
        <v>2.2</v>
      </c>
      <c r="F42" s="142">
        <v>10</v>
      </c>
      <c r="G42" s="143">
        <v>0</v>
      </c>
      <c r="H42" s="138">
        <f t="shared" si="1"/>
        <v>2.6691176470588243</v>
      </c>
      <c r="I42" s="71">
        <f t="shared" si="2"/>
        <v>2.4200000000000004</v>
      </c>
      <c r="J42" s="62">
        <f t="shared" si="3"/>
        <v>185.13000000000005</v>
      </c>
      <c r="K42" s="444"/>
      <c r="L42" s="410">
        <f>IF(OR(Калькуляция!$F42=3,),3,0)</f>
        <v>0</v>
      </c>
      <c r="M42" s="410">
        <f>IF(OR(Калькуляция!$F42=6,),6,0)</f>
        <v>0</v>
      </c>
      <c r="N42" s="410">
        <f>IF(OR(Калькуляция!$F42=9,),9,0)</f>
        <v>0</v>
      </c>
      <c r="O42" s="410">
        <f>IF(OR(Калькуляция!$F42=3,Калькуляция!$F42=6,Калькуляция!$F42=9,),369,0)</f>
        <v>0</v>
      </c>
      <c r="P42" s="139">
        <f t="shared" si="4"/>
        <v>0</v>
      </c>
      <c r="Q42" s="68">
        <f t="shared" si="5"/>
        <v>0</v>
      </c>
    </row>
    <row r="43" spans="1:17" s="30" customFormat="1" ht="12.75">
      <c r="A43" s="335">
        <f t="shared" si="7"/>
        <v>25</v>
      </c>
      <c r="B43" s="57" t="s">
        <v>350</v>
      </c>
      <c r="C43" s="352"/>
      <c r="D43" s="57" t="s">
        <v>339</v>
      </c>
      <c r="E43" s="141">
        <v>2.6</v>
      </c>
      <c r="F43" s="142">
        <v>10</v>
      </c>
      <c r="G43" s="143">
        <v>0</v>
      </c>
      <c r="H43" s="138">
        <f t="shared" si="1"/>
        <v>3.1544117647058827</v>
      </c>
      <c r="I43" s="71">
        <f t="shared" si="2"/>
        <v>2.8600000000000003</v>
      </c>
      <c r="J43" s="62">
        <f t="shared" si="3"/>
        <v>218.79000000000005</v>
      </c>
      <c r="K43" s="307"/>
      <c r="L43" s="410">
        <f>IF(OR(Калькуляция!$F43=3,),3,0)</f>
        <v>0</v>
      </c>
      <c r="M43" s="410">
        <f>IF(OR(Калькуляция!$F43=6,),6,0)</f>
        <v>0</v>
      </c>
      <c r="N43" s="410">
        <f>IF(OR(Калькуляция!$F43=9,),9,0)</f>
        <v>0</v>
      </c>
      <c r="O43" s="410">
        <f>IF(OR(Калькуляция!$F43=3,Калькуляция!$F43=6,Калькуляция!$F43=9,),369,0)</f>
        <v>0</v>
      </c>
      <c r="P43" s="139">
        <f t="shared" si="4"/>
        <v>0</v>
      </c>
      <c r="Q43" s="68">
        <f t="shared" si="5"/>
        <v>0</v>
      </c>
    </row>
    <row r="44" spans="1:17" s="30" customFormat="1" ht="12.75">
      <c r="A44" s="335">
        <f t="shared" si="7"/>
        <v>26</v>
      </c>
      <c r="B44" s="57" t="s">
        <v>351</v>
      </c>
      <c r="C44" s="352"/>
      <c r="D44" s="57" t="s">
        <v>339</v>
      </c>
      <c r="E44" s="141">
        <v>3.3</v>
      </c>
      <c r="F44" s="142">
        <v>10</v>
      </c>
      <c r="G44" s="143">
        <v>0</v>
      </c>
      <c r="H44" s="138">
        <f t="shared" si="1"/>
        <v>4.0036764705882355</v>
      </c>
      <c r="I44" s="71">
        <f t="shared" si="2"/>
        <v>3.63</v>
      </c>
      <c r="J44" s="62">
        <f t="shared" si="3"/>
        <v>277.695</v>
      </c>
      <c r="K44" s="444"/>
      <c r="L44" s="410">
        <f>IF(OR(Калькуляция!$F44=3,),3,0)</f>
        <v>0</v>
      </c>
      <c r="M44" s="410">
        <f>IF(OR(Калькуляция!$F44=6,),6,0)</f>
        <v>0</v>
      </c>
      <c r="N44" s="410">
        <f>IF(OR(Калькуляция!$F44=9,),9,0)</f>
        <v>0</v>
      </c>
      <c r="O44" s="410">
        <f>IF(OR(Калькуляция!$F44=3,Калькуляция!$F44=6,Калькуляция!$F44=9,),369,0)</f>
        <v>0</v>
      </c>
      <c r="P44" s="139">
        <f t="shared" si="4"/>
        <v>0</v>
      </c>
      <c r="Q44" s="68">
        <f t="shared" si="5"/>
        <v>0</v>
      </c>
    </row>
    <row r="45" spans="1:17" s="30" customFormat="1" ht="12.75">
      <c r="A45" s="335">
        <f t="shared" si="7"/>
        <v>27</v>
      </c>
      <c r="B45" s="57" t="s">
        <v>352</v>
      </c>
      <c r="C45" s="352"/>
      <c r="D45" s="57" t="s">
        <v>339</v>
      </c>
      <c r="E45" s="141">
        <v>5</v>
      </c>
      <c r="F45" s="142">
        <v>10</v>
      </c>
      <c r="G45" s="143">
        <v>0</v>
      </c>
      <c r="H45" s="138">
        <f t="shared" si="1"/>
        <v>6.0661764705882355</v>
      </c>
      <c r="I45" s="71">
        <f t="shared" si="2"/>
        <v>5.5</v>
      </c>
      <c r="J45" s="62">
        <f t="shared" si="3"/>
        <v>420.75</v>
      </c>
      <c r="K45" s="307"/>
      <c r="L45" s="410">
        <f>IF(OR(Калькуляция!$F45=3,),3,0)</f>
        <v>0</v>
      </c>
      <c r="M45" s="410">
        <f>IF(OR(Калькуляция!$F45=6,),6,0)</f>
        <v>0</v>
      </c>
      <c r="N45" s="410">
        <f>IF(OR(Калькуляция!$F45=9,),9,0)</f>
        <v>0</v>
      </c>
      <c r="O45" s="410">
        <f>IF(OR(Калькуляция!$F45=3,Калькуляция!$F45=6,Калькуляция!$F45=9,),369,0)</f>
        <v>0</v>
      </c>
      <c r="P45" s="139">
        <f t="shared" si="4"/>
        <v>0</v>
      </c>
      <c r="Q45" s="68">
        <f t="shared" si="5"/>
        <v>0</v>
      </c>
    </row>
    <row r="46" spans="1:17" s="30" customFormat="1" ht="12.75">
      <c r="A46" s="335">
        <f t="shared" si="7"/>
        <v>28</v>
      </c>
      <c r="B46" s="57" t="s">
        <v>379</v>
      </c>
      <c r="C46" s="352"/>
      <c r="D46" s="57" t="s">
        <v>339</v>
      </c>
      <c r="E46" s="141">
        <v>6.6</v>
      </c>
      <c r="F46" s="142">
        <v>10</v>
      </c>
      <c r="G46" s="143">
        <v>0</v>
      </c>
      <c r="H46" s="138">
        <f t="shared" si="1"/>
        <v>8.007352941176471</v>
      </c>
      <c r="I46" s="71">
        <f t="shared" si="2"/>
        <v>7.26</v>
      </c>
      <c r="J46" s="62">
        <f t="shared" si="3"/>
        <v>555.39</v>
      </c>
      <c r="K46" s="307"/>
      <c r="L46" s="410">
        <f>IF(OR(Калькуляция!$F46=3,),3,0)</f>
        <v>0</v>
      </c>
      <c r="M46" s="410">
        <f>IF(OR(Калькуляция!$F46=6,),6,0)</f>
        <v>0</v>
      </c>
      <c r="N46" s="410">
        <f>IF(OR(Калькуляция!$F46=9,),9,0)</f>
        <v>0</v>
      </c>
      <c r="O46" s="410">
        <f>IF(OR(Калькуляция!$F46=3,Калькуляция!$F46=6,Калькуляция!$F46=9,),369,0)</f>
        <v>0</v>
      </c>
      <c r="P46" s="139">
        <f t="shared" si="4"/>
        <v>0</v>
      </c>
      <c r="Q46" s="68">
        <f t="shared" si="5"/>
        <v>0</v>
      </c>
    </row>
    <row r="47" spans="1:17" s="30" customFormat="1" ht="12.75">
      <c r="A47" s="335">
        <f t="shared" si="7"/>
        <v>29</v>
      </c>
      <c r="B47" s="57" t="s">
        <v>166</v>
      </c>
      <c r="C47" s="352" t="s">
        <v>323</v>
      </c>
      <c r="D47" s="57" t="s">
        <v>30</v>
      </c>
      <c r="E47" s="141">
        <v>100</v>
      </c>
      <c r="F47" s="142">
        <v>2</v>
      </c>
      <c r="G47" s="143">
        <v>0</v>
      </c>
      <c r="H47" s="138">
        <f t="shared" si="1"/>
        <v>121.32352941176472</v>
      </c>
      <c r="I47" s="71">
        <f t="shared" si="2"/>
        <v>110.00000000000001</v>
      </c>
      <c r="J47" s="62">
        <f aca="true" t="shared" si="8" ref="J47:J68">PRODUCT(I47,1/$L$358,$L$357,1.02)</f>
        <v>8415.000000000002</v>
      </c>
      <c r="K47" s="307"/>
      <c r="L47" s="410">
        <f>IF(OR(Калькуляция!$F47=3,),3,0)</f>
        <v>0</v>
      </c>
      <c r="M47" s="410">
        <f>IF(OR(Калькуляция!$F47=6,),6,0)</f>
        <v>0</v>
      </c>
      <c r="N47" s="410">
        <f>IF(OR(Калькуляция!$F47=9,),9,0)</f>
        <v>0</v>
      </c>
      <c r="O47" s="410">
        <f>IF(OR(Калькуляция!$F47=3,Калькуляция!$F47=6,Калькуляция!$F47=9,),369,0)</f>
        <v>0</v>
      </c>
      <c r="P47" s="139">
        <f t="shared" si="4"/>
        <v>0</v>
      </c>
      <c r="Q47" s="68">
        <f t="shared" si="5"/>
        <v>0</v>
      </c>
    </row>
    <row r="48" spans="1:17" s="30" customFormat="1" ht="12.75">
      <c r="A48" s="335">
        <f t="shared" si="7"/>
        <v>30</v>
      </c>
      <c r="B48" s="57" t="s">
        <v>310</v>
      </c>
      <c r="C48" s="140" t="s">
        <v>324</v>
      </c>
      <c r="D48" s="57" t="s">
        <v>36</v>
      </c>
      <c r="E48" s="141">
        <v>200</v>
      </c>
      <c r="F48" s="142">
        <v>3</v>
      </c>
      <c r="G48" s="143">
        <v>0</v>
      </c>
      <c r="H48" s="138">
        <f t="shared" si="1"/>
        <v>194.11764705882356</v>
      </c>
      <c r="I48" s="71">
        <f t="shared" si="2"/>
        <v>176.00000000000003</v>
      </c>
      <c r="J48" s="62">
        <f t="shared" si="8"/>
        <v>13464.000000000002</v>
      </c>
      <c r="K48" s="307"/>
      <c r="L48" s="410">
        <f>IF(OR(Калькуляция!$F48=3,),3,0)</f>
        <v>3</v>
      </c>
      <c r="M48" s="410">
        <f>IF(OR(Калькуляция!$F48=6,),6,0)</f>
        <v>0</v>
      </c>
      <c r="N48" s="410">
        <f>IF(OR(Калькуляция!$F48=9,),9,0)</f>
        <v>0</v>
      </c>
      <c r="O48" s="410">
        <f>IF(OR(Калькуляция!$F48=3,Калькуляция!$F48=6,Калькуляция!$F48=9,),369,0)</f>
        <v>369</v>
      </c>
      <c r="P48" s="144">
        <f t="shared" si="4"/>
        <v>0</v>
      </c>
      <c r="Q48" s="68">
        <f t="shared" si="5"/>
        <v>0</v>
      </c>
    </row>
    <row r="49" spans="1:17" s="30" customFormat="1" ht="12.75">
      <c r="A49" s="335">
        <f t="shared" si="7"/>
        <v>31</v>
      </c>
      <c r="B49" s="57" t="s">
        <v>328</v>
      </c>
      <c r="C49" s="140" t="s">
        <v>325</v>
      </c>
      <c r="D49" s="57" t="s">
        <v>36</v>
      </c>
      <c r="E49" s="141">
        <v>250</v>
      </c>
      <c r="F49" s="142">
        <v>3</v>
      </c>
      <c r="G49" s="143">
        <v>0</v>
      </c>
      <c r="H49" s="138">
        <f t="shared" si="1"/>
        <v>242.64705882352942</v>
      </c>
      <c r="I49" s="71">
        <f t="shared" si="2"/>
        <v>220</v>
      </c>
      <c r="J49" s="62">
        <f t="shared" si="8"/>
        <v>16830</v>
      </c>
      <c r="K49" s="307"/>
      <c r="L49" s="410">
        <f>IF(OR(Калькуляция!$F49=3,),3,0)</f>
        <v>3</v>
      </c>
      <c r="M49" s="410">
        <f>IF(OR(Калькуляция!$F49=6,),6,0)</f>
        <v>0</v>
      </c>
      <c r="N49" s="410">
        <f>IF(OR(Калькуляция!$F49=9,),9,0)</f>
        <v>0</v>
      </c>
      <c r="O49" s="410">
        <f>IF(OR(Калькуляция!$F49=3,Калькуляция!$F49=6,Калькуляция!$F49=9,),369,0)</f>
        <v>369</v>
      </c>
      <c r="P49" s="144">
        <f t="shared" si="4"/>
        <v>0</v>
      </c>
      <c r="Q49" s="68">
        <f t="shared" si="5"/>
        <v>0</v>
      </c>
    </row>
    <row r="50" spans="1:17" s="30" customFormat="1" ht="12.75">
      <c r="A50" s="335">
        <f t="shared" si="7"/>
        <v>32</v>
      </c>
      <c r="B50" s="57" t="s">
        <v>328</v>
      </c>
      <c r="C50" s="140" t="s">
        <v>326</v>
      </c>
      <c r="D50" s="57" t="s">
        <v>36</v>
      </c>
      <c r="E50" s="141">
        <v>300</v>
      </c>
      <c r="F50" s="142">
        <v>3</v>
      </c>
      <c r="G50" s="143">
        <v>0</v>
      </c>
      <c r="H50" s="138">
        <f t="shared" si="1"/>
        <v>291.1764705882353</v>
      </c>
      <c r="I50" s="71">
        <f t="shared" si="2"/>
        <v>264</v>
      </c>
      <c r="J50" s="62">
        <f t="shared" si="8"/>
        <v>20196</v>
      </c>
      <c r="K50" s="307"/>
      <c r="L50" s="410">
        <f>IF(OR(Калькуляция!$F50=3,),3,0)</f>
        <v>3</v>
      </c>
      <c r="M50" s="410">
        <f>IF(OR(Калькуляция!$F50=6,),6,0)</f>
        <v>0</v>
      </c>
      <c r="N50" s="410">
        <f>IF(OR(Калькуляция!$F50=9,),9,0)</f>
        <v>0</v>
      </c>
      <c r="O50" s="410">
        <f>IF(OR(Калькуляция!$F50=3,Калькуляция!$F50=6,Калькуляция!$F50=9,),369,0)</f>
        <v>369</v>
      </c>
      <c r="P50" s="144">
        <f t="shared" si="4"/>
        <v>0</v>
      </c>
      <c r="Q50" s="68">
        <f t="shared" si="5"/>
        <v>0</v>
      </c>
    </row>
    <row r="51" spans="1:17" s="30" customFormat="1" ht="12.75">
      <c r="A51" s="335">
        <f t="shared" si="7"/>
        <v>33</v>
      </c>
      <c r="B51" s="57" t="s">
        <v>328</v>
      </c>
      <c r="C51" s="140" t="s">
        <v>327</v>
      </c>
      <c r="D51" s="57" t="s">
        <v>36</v>
      </c>
      <c r="E51" s="141">
        <v>500</v>
      </c>
      <c r="F51" s="142">
        <v>3</v>
      </c>
      <c r="G51" s="143">
        <v>0</v>
      </c>
      <c r="H51" s="138">
        <f t="shared" si="1"/>
        <v>485.29411764705884</v>
      </c>
      <c r="I51" s="71">
        <f t="shared" si="2"/>
        <v>440</v>
      </c>
      <c r="J51" s="62">
        <f t="shared" si="8"/>
        <v>33660</v>
      </c>
      <c r="K51" s="307"/>
      <c r="L51" s="410">
        <f>IF(OR(Калькуляция!$F51=3,),3,0)</f>
        <v>3</v>
      </c>
      <c r="M51" s="410">
        <f>IF(OR(Калькуляция!$F51=6,),6,0)</f>
        <v>0</v>
      </c>
      <c r="N51" s="410">
        <f>IF(OR(Калькуляция!$F51=9,),9,0)</f>
        <v>0</v>
      </c>
      <c r="O51" s="410">
        <f>IF(OR(Калькуляция!$F51=3,Калькуляция!$F51=6,Калькуляция!$F51=9,),369,0)</f>
        <v>369</v>
      </c>
      <c r="P51" s="144">
        <f t="shared" si="4"/>
        <v>0</v>
      </c>
      <c r="Q51" s="68">
        <f t="shared" si="5"/>
        <v>0</v>
      </c>
    </row>
    <row r="52" spans="1:17" s="30" customFormat="1" ht="12.75">
      <c r="A52" s="335">
        <f t="shared" si="7"/>
        <v>34</v>
      </c>
      <c r="B52" s="57" t="s">
        <v>337</v>
      </c>
      <c r="C52" s="140" t="s">
        <v>338</v>
      </c>
      <c r="D52" s="57" t="s">
        <v>339</v>
      </c>
      <c r="E52" s="141">
        <v>2</v>
      </c>
      <c r="F52" s="142">
        <v>3</v>
      </c>
      <c r="G52" s="143">
        <v>0</v>
      </c>
      <c r="H52" s="138">
        <f t="shared" si="1"/>
        <v>1.9411764705882357</v>
      </c>
      <c r="I52" s="71">
        <f t="shared" si="2"/>
        <v>1.7600000000000002</v>
      </c>
      <c r="J52" s="62">
        <f t="shared" si="8"/>
        <v>134.64000000000004</v>
      </c>
      <c r="K52" s="307"/>
      <c r="L52" s="410">
        <f>IF(OR(Калькуляция!$F52=3,),3,0)</f>
        <v>3</v>
      </c>
      <c r="M52" s="410">
        <f>IF(OR(Калькуляция!$F52=6,),6,0)</f>
        <v>0</v>
      </c>
      <c r="N52" s="410">
        <f>IF(OR(Калькуляция!$F52=9,),9,0)</f>
        <v>0</v>
      </c>
      <c r="O52" s="410">
        <f>IF(OR(Калькуляция!$F52=3,Калькуляция!$F52=6,Калькуляция!$F52=9,),369,0)</f>
        <v>369</v>
      </c>
      <c r="P52" s="144">
        <f t="shared" si="4"/>
        <v>0</v>
      </c>
      <c r="Q52" s="68">
        <f t="shared" si="5"/>
        <v>0</v>
      </c>
    </row>
    <row r="53" spans="1:17" s="29" customFormat="1" ht="12.75">
      <c r="A53" s="335">
        <f t="shared" si="7"/>
        <v>35</v>
      </c>
      <c r="B53" s="56" t="s">
        <v>353</v>
      </c>
      <c r="C53" s="134" t="s">
        <v>354</v>
      </c>
      <c r="D53" s="56" t="s">
        <v>27</v>
      </c>
      <c r="E53" s="135">
        <v>31</v>
      </c>
      <c r="F53" s="136">
        <v>10</v>
      </c>
      <c r="G53" s="137">
        <v>0</v>
      </c>
      <c r="H53" s="138">
        <f t="shared" si="1"/>
        <v>37.610294117647065</v>
      </c>
      <c r="I53" s="71">
        <f t="shared" si="2"/>
        <v>34.1</v>
      </c>
      <c r="J53" s="62">
        <f t="shared" si="8"/>
        <v>2608.6500000000005</v>
      </c>
      <c r="K53" s="307"/>
      <c r="L53" s="410">
        <f>IF(OR(Калькуляция!$F53=3,),3,0)</f>
        <v>0</v>
      </c>
      <c r="M53" s="410">
        <f>IF(OR(Калькуляция!$F53=6,),6,0)</f>
        <v>0</v>
      </c>
      <c r="N53" s="410">
        <f>IF(OR(Калькуляция!$F53=9,),9,0)</f>
        <v>0</v>
      </c>
      <c r="O53" s="410">
        <f>IF(OR(Калькуляция!$F53=3,Калькуляция!$F53=6,Калькуляция!$F53=9,),369,0)</f>
        <v>0</v>
      </c>
      <c r="P53" s="139">
        <f t="shared" si="4"/>
        <v>0</v>
      </c>
      <c r="Q53" s="68">
        <f t="shared" si="5"/>
        <v>0</v>
      </c>
    </row>
    <row r="54" spans="1:17" s="30" customFormat="1" ht="12.75">
      <c r="A54" s="335">
        <f t="shared" si="7"/>
        <v>36</v>
      </c>
      <c r="B54" s="57" t="s">
        <v>340</v>
      </c>
      <c r="C54" s="140" t="s">
        <v>341</v>
      </c>
      <c r="D54" s="57" t="s">
        <v>27</v>
      </c>
      <c r="E54" s="141">
        <v>30</v>
      </c>
      <c r="F54" s="142">
        <v>3</v>
      </c>
      <c r="G54" s="143">
        <v>0</v>
      </c>
      <c r="H54" s="138">
        <f t="shared" si="1"/>
        <v>29.117647058823533</v>
      </c>
      <c r="I54" s="71">
        <f t="shared" si="2"/>
        <v>26.400000000000002</v>
      </c>
      <c r="J54" s="62">
        <f t="shared" si="8"/>
        <v>2019.6000000000004</v>
      </c>
      <c r="K54" s="307"/>
      <c r="L54" s="410">
        <f>IF(OR(Калькуляция!$F54=3,),3,0)</f>
        <v>3</v>
      </c>
      <c r="M54" s="410">
        <f>IF(OR(Калькуляция!$F54=6,),6,0)</f>
        <v>0</v>
      </c>
      <c r="N54" s="410">
        <f>IF(OR(Калькуляция!$F54=9,),9,0)</f>
        <v>0</v>
      </c>
      <c r="O54" s="410">
        <f>IF(OR(Калькуляция!$F54=3,Калькуляция!$F54=6,Калькуляция!$F54=9,),369,0)</f>
        <v>369</v>
      </c>
      <c r="P54" s="144">
        <f t="shared" si="4"/>
        <v>0</v>
      </c>
      <c r="Q54" s="68">
        <f t="shared" si="5"/>
        <v>0</v>
      </c>
    </row>
    <row r="55" spans="1:17" s="29" customFormat="1" ht="12.75">
      <c r="A55" s="335">
        <f t="shared" si="7"/>
        <v>37</v>
      </c>
      <c r="B55" s="56" t="s">
        <v>157</v>
      </c>
      <c r="C55" s="134" t="s">
        <v>277</v>
      </c>
      <c r="D55" s="56" t="s">
        <v>27</v>
      </c>
      <c r="E55" s="135">
        <v>260</v>
      </c>
      <c r="F55" s="136">
        <v>10</v>
      </c>
      <c r="G55" s="137">
        <v>0</v>
      </c>
      <c r="H55" s="138">
        <f t="shared" si="1"/>
        <v>315.44117647058823</v>
      </c>
      <c r="I55" s="71">
        <f t="shared" si="2"/>
        <v>286</v>
      </c>
      <c r="J55" s="62">
        <f t="shared" si="8"/>
        <v>21879</v>
      </c>
      <c r="K55" s="307"/>
      <c r="L55" s="410">
        <f>IF(OR(Калькуляция!$F55=3,),3,0)</f>
        <v>0</v>
      </c>
      <c r="M55" s="410">
        <f>IF(OR(Калькуляция!$F55=6,),6,0)</f>
        <v>0</v>
      </c>
      <c r="N55" s="410">
        <f>IF(OR(Калькуляция!$F55=9,),9,0)</f>
        <v>0</v>
      </c>
      <c r="O55" s="410">
        <f>IF(OR(Калькуляция!$F55=3,Калькуляция!$F55=6,Калькуляция!$F55=9,),369,0)</f>
        <v>0</v>
      </c>
      <c r="P55" s="139">
        <f t="shared" si="4"/>
        <v>0</v>
      </c>
      <c r="Q55" s="68">
        <f t="shared" si="5"/>
        <v>0</v>
      </c>
    </row>
    <row r="56" spans="1:17" s="29" customFormat="1" ht="12.75">
      <c r="A56" s="335">
        <f t="shared" si="7"/>
        <v>38</v>
      </c>
      <c r="B56" s="56" t="s">
        <v>157</v>
      </c>
      <c r="C56" s="134" t="s">
        <v>278</v>
      </c>
      <c r="D56" s="56" t="s">
        <v>27</v>
      </c>
      <c r="E56" s="135">
        <v>300</v>
      </c>
      <c r="F56" s="136">
        <v>10</v>
      </c>
      <c r="G56" s="137">
        <v>0</v>
      </c>
      <c r="H56" s="138">
        <f t="shared" si="1"/>
        <v>363.97058823529414</v>
      </c>
      <c r="I56" s="71">
        <f t="shared" si="2"/>
        <v>330</v>
      </c>
      <c r="J56" s="62">
        <f t="shared" si="8"/>
        <v>25245</v>
      </c>
      <c r="K56" s="307"/>
      <c r="L56" s="410">
        <f>IF(OR(Калькуляция!$F56=3,),3,0)</f>
        <v>0</v>
      </c>
      <c r="M56" s="410">
        <f>IF(OR(Калькуляция!$F56=6,),6,0)</f>
        <v>0</v>
      </c>
      <c r="N56" s="410">
        <f>IF(OR(Калькуляция!$F56=9,),9,0)</f>
        <v>0</v>
      </c>
      <c r="O56" s="410">
        <f>IF(OR(Калькуляция!$F56=3,Калькуляция!$F56=6,Калькуляция!$F56=9,),369,0)</f>
        <v>0</v>
      </c>
      <c r="P56" s="139">
        <f t="shared" si="4"/>
        <v>0</v>
      </c>
      <c r="Q56" s="68">
        <f t="shared" si="5"/>
        <v>0</v>
      </c>
    </row>
    <row r="57" spans="1:17" s="30" customFormat="1" ht="12.75">
      <c r="A57" s="335">
        <f t="shared" si="7"/>
        <v>39</v>
      </c>
      <c r="B57" s="57" t="s">
        <v>166</v>
      </c>
      <c r="C57" s="140" t="s">
        <v>330</v>
      </c>
      <c r="D57" s="57" t="s">
        <v>30</v>
      </c>
      <c r="E57" s="141">
        <v>50</v>
      </c>
      <c r="F57" s="142">
        <v>2</v>
      </c>
      <c r="G57" s="143">
        <v>0</v>
      </c>
      <c r="H57" s="138">
        <f t="shared" si="1"/>
        <v>60.66176470588236</v>
      </c>
      <c r="I57" s="71">
        <f t="shared" si="2"/>
        <v>55.00000000000001</v>
      </c>
      <c r="J57" s="62">
        <f t="shared" si="8"/>
        <v>4207.500000000001</v>
      </c>
      <c r="K57" s="307"/>
      <c r="L57" s="410">
        <f>IF(OR(Калькуляция!$F57=3,),3,0)</f>
        <v>0</v>
      </c>
      <c r="M57" s="410">
        <f>IF(OR(Калькуляция!$F57=6,),6,0)</f>
        <v>0</v>
      </c>
      <c r="N57" s="410">
        <f>IF(OR(Калькуляция!$F57=9,),9,0)</f>
        <v>0</v>
      </c>
      <c r="O57" s="410">
        <f>IF(OR(Калькуляция!$F57=3,Калькуляция!$F57=6,Калькуляция!$F57=9,),369,0)</f>
        <v>0</v>
      </c>
      <c r="P57" s="139">
        <f t="shared" si="4"/>
        <v>0</v>
      </c>
      <c r="Q57" s="68">
        <f t="shared" si="5"/>
        <v>0</v>
      </c>
    </row>
    <row r="58" spans="1:17" s="29" customFormat="1" ht="12.75">
      <c r="A58" s="335">
        <f t="shared" si="7"/>
        <v>40</v>
      </c>
      <c r="B58" s="56" t="s">
        <v>156</v>
      </c>
      <c r="C58" s="134" t="s">
        <v>273</v>
      </c>
      <c r="D58" s="56" t="s">
        <v>27</v>
      </c>
      <c r="E58" s="135">
        <v>14</v>
      </c>
      <c r="F58" s="136">
        <v>10</v>
      </c>
      <c r="G58" s="137">
        <v>0</v>
      </c>
      <c r="H58" s="138">
        <f t="shared" si="1"/>
        <v>16.98529411764706</v>
      </c>
      <c r="I58" s="71">
        <f t="shared" si="2"/>
        <v>15.400000000000002</v>
      </c>
      <c r="J58" s="62">
        <f t="shared" si="8"/>
        <v>1178.1000000000004</v>
      </c>
      <c r="K58" s="307"/>
      <c r="L58" s="410">
        <f>IF(OR(Калькуляция!$F58=3,),3,0)</f>
        <v>0</v>
      </c>
      <c r="M58" s="410">
        <f>IF(OR(Калькуляция!$F58=6,),6,0)</f>
        <v>0</v>
      </c>
      <c r="N58" s="410">
        <f>IF(OR(Калькуляция!$F58=9,),9,0)</f>
        <v>0</v>
      </c>
      <c r="O58" s="410">
        <f>IF(OR(Калькуляция!$F58=3,Калькуляция!$F58=6,Калькуляция!$F58=9,),369,0)</f>
        <v>0</v>
      </c>
      <c r="P58" s="139">
        <f t="shared" si="4"/>
        <v>0</v>
      </c>
      <c r="Q58" s="68">
        <f t="shared" si="5"/>
        <v>0</v>
      </c>
    </row>
    <row r="59" spans="1:17" s="29" customFormat="1" ht="12.75">
      <c r="A59" s="335">
        <f t="shared" si="7"/>
        <v>41</v>
      </c>
      <c r="B59" s="56" t="s">
        <v>156</v>
      </c>
      <c r="C59" s="134" t="s">
        <v>274</v>
      </c>
      <c r="D59" s="56" t="s">
        <v>27</v>
      </c>
      <c r="E59" s="135">
        <v>115</v>
      </c>
      <c r="F59" s="136">
        <v>10</v>
      </c>
      <c r="G59" s="137">
        <v>0</v>
      </c>
      <c r="H59" s="138">
        <f t="shared" si="1"/>
        <v>139.52205882352945</v>
      </c>
      <c r="I59" s="71">
        <f t="shared" si="2"/>
        <v>126.50000000000001</v>
      </c>
      <c r="J59" s="62">
        <f t="shared" si="8"/>
        <v>9677.250000000002</v>
      </c>
      <c r="K59" s="307"/>
      <c r="L59" s="410">
        <f>IF(OR(Калькуляция!$F59=3,),3,0)</f>
        <v>0</v>
      </c>
      <c r="M59" s="410">
        <f>IF(OR(Калькуляция!$F59=6,),6,0)</f>
        <v>0</v>
      </c>
      <c r="N59" s="410">
        <f>IF(OR(Калькуляция!$F59=9,),9,0)</f>
        <v>0</v>
      </c>
      <c r="O59" s="410">
        <f>IF(OR(Калькуляция!$F59=3,Калькуляция!$F59=6,Калькуляция!$F59=9,),369,0)</f>
        <v>0</v>
      </c>
      <c r="P59" s="139">
        <f t="shared" si="4"/>
        <v>0</v>
      </c>
      <c r="Q59" s="68">
        <f t="shared" si="5"/>
        <v>0</v>
      </c>
    </row>
    <row r="60" spans="1:17" s="29" customFormat="1" ht="12.75">
      <c r="A60" s="335">
        <f t="shared" si="7"/>
        <v>42</v>
      </c>
      <c r="B60" s="56" t="s">
        <v>233</v>
      </c>
      <c r="C60" s="134" t="s">
        <v>275</v>
      </c>
      <c r="D60" s="56" t="s">
        <v>27</v>
      </c>
      <c r="E60" s="135">
        <v>10</v>
      </c>
      <c r="F60" s="136">
        <v>10</v>
      </c>
      <c r="G60" s="137">
        <v>0</v>
      </c>
      <c r="H60" s="138">
        <f t="shared" si="1"/>
        <v>12.132352941176471</v>
      </c>
      <c r="I60" s="71">
        <f t="shared" si="2"/>
        <v>11</v>
      </c>
      <c r="J60" s="62">
        <f t="shared" si="8"/>
        <v>841.5</v>
      </c>
      <c r="K60" s="307"/>
      <c r="L60" s="410">
        <f>IF(OR(Калькуляция!$F60=3,),3,0)</f>
        <v>0</v>
      </c>
      <c r="M60" s="410">
        <f>IF(OR(Калькуляция!$F60=6,),6,0)</f>
        <v>0</v>
      </c>
      <c r="N60" s="410">
        <f>IF(OR(Калькуляция!$F60=9,),9,0)</f>
        <v>0</v>
      </c>
      <c r="O60" s="410">
        <f>IF(OR(Калькуляция!$F60=3,Калькуляция!$F60=6,Калькуляция!$F60=9,),369,0)</f>
        <v>0</v>
      </c>
      <c r="P60" s="139">
        <f t="shared" si="4"/>
        <v>0</v>
      </c>
      <c r="Q60" s="68">
        <f t="shared" si="5"/>
        <v>0</v>
      </c>
    </row>
    <row r="61" spans="1:17" s="30" customFormat="1" ht="12.75">
      <c r="A61" s="335">
        <f t="shared" si="7"/>
        <v>43</v>
      </c>
      <c r="B61" s="57" t="s">
        <v>399</v>
      </c>
      <c r="C61" s="140"/>
      <c r="D61" s="57" t="s">
        <v>36</v>
      </c>
      <c r="E61" s="141">
        <f>30</f>
        <v>30</v>
      </c>
      <c r="F61" s="142">
        <v>3</v>
      </c>
      <c r="G61" s="143">
        <v>0</v>
      </c>
      <c r="H61" s="138">
        <f t="shared" si="1"/>
        <v>29.117647058823533</v>
      </c>
      <c r="I61" s="71">
        <f t="shared" si="2"/>
        <v>26.400000000000002</v>
      </c>
      <c r="J61" s="62">
        <f t="shared" si="8"/>
        <v>2019.6000000000004</v>
      </c>
      <c r="K61" s="307"/>
      <c r="L61" s="410">
        <f>IF(OR(Калькуляция!$F61=3,),3,0)</f>
        <v>3</v>
      </c>
      <c r="M61" s="410">
        <f>IF(OR(Калькуляция!$F61=6,),6,0)</f>
        <v>0</v>
      </c>
      <c r="N61" s="410">
        <f>IF(OR(Калькуляция!$F61=9,),9,0)</f>
        <v>0</v>
      </c>
      <c r="O61" s="410">
        <f>IF(OR(Калькуляция!$F61=3,Калькуляция!$F61=6,Калькуляция!$F61=9,),369,0)</f>
        <v>369</v>
      </c>
      <c r="P61" s="144">
        <f t="shared" si="4"/>
        <v>0</v>
      </c>
      <c r="Q61" s="68">
        <f t="shared" si="5"/>
        <v>0</v>
      </c>
    </row>
    <row r="62" spans="1:17" s="29" customFormat="1" ht="12.75">
      <c r="A62" s="335">
        <f t="shared" si="7"/>
        <v>44</v>
      </c>
      <c r="B62" s="56" t="s">
        <v>236</v>
      </c>
      <c r="C62" s="134" t="s">
        <v>402</v>
      </c>
      <c r="D62" s="56" t="s">
        <v>27</v>
      </c>
      <c r="E62" s="135">
        <v>45</v>
      </c>
      <c r="F62" s="136">
        <v>10</v>
      </c>
      <c r="G62" s="137">
        <v>0</v>
      </c>
      <c r="H62" s="138">
        <f t="shared" si="1"/>
        <v>54.59558823529413</v>
      </c>
      <c r="I62" s="71">
        <f t="shared" si="2"/>
        <v>49.50000000000001</v>
      </c>
      <c r="J62" s="62">
        <f t="shared" si="8"/>
        <v>3786.750000000001</v>
      </c>
      <c r="K62" s="307"/>
      <c r="L62" s="410">
        <f>IF(OR(Калькуляция!$F62=3,),3,0)</f>
        <v>0</v>
      </c>
      <c r="M62" s="410">
        <f>IF(OR(Калькуляция!$F62=6,),6,0)</f>
        <v>0</v>
      </c>
      <c r="N62" s="410">
        <f>IF(OR(Калькуляция!$F62=9,),9,0)</f>
        <v>0</v>
      </c>
      <c r="O62" s="410">
        <f>IF(OR(Калькуляция!$F62=3,Калькуляция!$F62=6,Калькуляция!$F62=9,),369,0)</f>
        <v>0</v>
      </c>
      <c r="P62" s="139">
        <f t="shared" si="4"/>
        <v>0</v>
      </c>
      <c r="Q62" s="68">
        <f t="shared" si="5"/>
        <v>0</v>
      </c>
    </row>
    <row r="63" spans="1:17" s="30" customFormat="1" ht="12.75">
      <c r="A63" s="335">
        <f t="shared" si="7"/>
        <v>45</v>
      </c>
      <c r="B63" s="57" t="s">
        <v>403</v>
      </c>
      <c r="C63" s="140"/>
      <c r="D63" s="57" t="s">
        <v>30</v>
      </c>
      <c r="E63" s="141">
        <v>45</v>
      </c>
      <c r="F63" s="142">
        <v>2</v>
      </c>
      <c r="G63" s="143">
        <v>0</v>
      </c>
      <c r="H63" s="138">
        <f t="shared" si="1"/>
        <v>54.59558823529413</v>
      </c>
      <c r="I63" s="71">
        <f t="shared" si="2"/>
        <v>49.50000000000001</v>
      </c>
      <c r="J63" s="62">
        <f t="shared" si="8"/>
        <v>3786.750000000001</v>
      </c>
      <c r="K63" s="307"/>
      <c r="L63" s="410">
        <f>IF(OR(Калькуляция!$F63=3,),3,0)</f>
        <v>0</v>
      </c>
      <c r="M63" s="410">
        <f>IF(OR(Калькуляция!$F63=6,),6,0)</f>
        <v>0</v>
      </c>
      <c r="N63" s="410">
        <f>IF(OR(Калькуляция!$F63=9,),9,0)</f>
        <v>0</v>
      </c>
      <c r="O63" s="410">
        <f>IF(OR(Калькуляция!$F63=3,Калькуляция!$F63=6,Калькуляция!$F63=9,),369,0)</f>
        <v>0</v>
      </c>
      <c r="P63" s="139">
        <f t="shared" si="4"/>
        <v>0</v>
      </c>
      <c r="Q63" s="68">
        <f t="shared" si="5"/>
        <v>0</v>
      </c>
    </row>
    <row r="64" spans="1:17" s="30" customFormat="1" ht="24" customHeight="1">
      <c r="A64" s="335">
        <f t="shared" si="7"/>
        <v>46</v>
      </c>
      <c r="B64" s="462" t="s">
        <v>401</v>
      </c>
      <c r="C64" s="463"/>
      <c r="D64" s="57" t="s">
        <v>36</v>
      </c>
      <c r="E64" s="141">
        <v>80</v>
      </c>
      <c r="F64" s="142">
        <v>9</v>
      </c>
      <c r="G64" s="143">
        <v>0</v>
      </c>
      <c r="H64" s="138">
        <f t="shared" si="1"/>
        <v>77.64705882352942</v>
      </c>
      <c r="I64" s="71">
        <f t="shared" si="2"/>
        <v>70.4</v>
      </c>
      <c r="J64" s="62">
        <f t="shared" si="8"/>
        <v>5385.600000000001</v>
      </c>
      <c r="K64" s="307"/>
      <c r="L64" s="410">
        <f>IF(OR(Калькуляция!$F64=3,),3,0)</f>
        <v>0</v>
      </c>
      <c r="M64" s="410">
        <f>IF(OR(Калькуляция!$F64=6,),6,0)</f>
        <v>0</v>
      </c>
      <c r="N64" s="410">
        <f>IF(OR(Калькуляция!$F64=9,),9,0)</f>
        <v>9</v>
      </c>
      <c r="O64" s="410">
        <f>IF(OR(Калькуляция!$F64=3,Калькуляция!$F64=6,Калькуляция!$F64=9,),369,0)</f>
        <v>369</v>
      </c>
      <c r="P64" s="144">
        <f t="shared" si="4"/>
        <v>0</v>
      </c>
      <c r="Q64" s="68">
        <f t="shared" si="5"/>
        <v>0</v>
      </c>
    </row>
    <row r="65" spans="1:17" s="30" customFormat="1" ht="12.75">
      <c r="A65" s="335">
        <f t="shared" si="7"/>
        <v>47</v>
      </c>
      <c r="B65" s="389" t="s">
        <v>400</v>
      </c>
      <c r="C65" s="140"/>
      <c r="D65" s="57" t="s">
        <v>36</v>
      </c>
      <c r="E65" s="141">
        <v>30</v>
      </c>
      <c r="F65" s="142">
        <v>6</v>
      </c>
      <c r="G65" s="143">
        <v>0</v>
      </c>
      <c r="H65" s="138">
        <f t="shared" si="1"/>
        <v>29.117647058823533</v>
      </c>
      <c r="I65" s="71">
        <f t="shared" si="2"/>
        <v>26.400000000000002</v>
      </c>
      <c r="J65" s="62">
        <f t="shared" si="8"/>
        <v>2019.6000000000004</v>
      </c>
      <c r="K65" s="307"/>
      <c r="L65" s="410">
        <f>IF(OR(Калькуляция!$F65=3,),3,0)</f>
        <v>0</v>
      </c>
      <c r="M65" s="410">
        <f>IF(OR(Калькуляция!$F65=6,),6,0)</f>
        <v>6</v>
      </c>
      <c r="N65" s="410">
        <f>IF(OR(Калькуляция!$F65=9,),9,0)</f>
        <v>0</v>
      </c>
      <c r="O65" s="410">
        <f>IF(OR(Калькуляция!$F65=3,Калькуляция!$F65=6,Калькуляция!$F65=9,),369,0)</f>
        <v>369</v>
      </c>
      <c r="P65" s="144">
        <f t="shared" si="4"/>
        <v>0</v>
      </c>
      <c r="Q65" s="68">
        <f t="shared" si="5"/>
        <v>0</v>
      </c>
    </row>
    <row r="66" spans="1:17" s="30" customFormat="1" ht="12.75">
      <c r="A66" s="335">
        <f t="shared" si="7"/>
        <v>48</v>
      </c>
      <c r="B66" s="57" t="s">
        <v>166</v>
      </c>
      <c r="C66" s="140" t="s">
        <v>329</v>
      </c>
      <c r="D66" s="57" t="s">
        <v>30</v>
      </c>
      <c r="E66" s="141">
        <v>50</v>
      </c>
      <c r="F66" s="142">
        <v>2</v>
      </c>
      <c r="G66" s="143">
        <v>0</v>
      </c>
      <c r="H66" s="138">
        <f t="shared" si="1"/>
        <v>60.66176470588236</v>
      </c>
      <c r="I66" s="71">
        <f t="shared" si="2"/>
        <v>55.00000000000001</v>
      </c>
      <c r="J66" s="62">
        <f t="shared" si="8"/>
        <v>4207.500000000001</v>
      </c>
      <c r="K66" s="307"/>
      <c r="L66" s="410">
        <f>IF(OR(Калькуляция!$F66=3,),3,0)</f>
        <v>0</v>
      </c>
      <c r="M66" s="410">
        <f>IF(OR(Калькуляция!$F66=6,),6,0)</f>
        <v>0</v>
      </c>
      <c r="N66" s="410">
        <f>IF(OR(Калькуляция!$F66=9,),9,0)</f>
        <v>0</v>
      </c>
      <c r="O66" s="410">
        <f>IF(OR(Калькуляция!$F66=3,Калькуляция!$F66=6,Калькуляция!$F66=9,),369,0)</f>
        <v>0</v>
      </c>
      <c r="P66" s="139">
        <f t="shared" si="4"/>
        <v>0</v>
      </c>
      <c r="Q66" s="68">
        <f t="shared" si="5"/>
        <v>0</v>
      </c>
    </row>
    <row r="67" spans="1:17" s="30" customFormat="1" ht="12.75">
      <c r="A67" s="335">
        <f t="shared" si="7"/>
        <v>49</v>
      </c>
      <c r="B67" s="57" t="s">
        <v>334</v>
      </c>
      <c r="C67" s="140"/>
      <c r="D67" s="57" t="s">
        <v>36</v>
      </c>
      <c r="E67" s="141">
        <v>20</v>
      </c>
      <c r="F67" s="142">
        <v>3</v>
      </c>
      <c r="G67" s="143">
        <v>0</v>
      </c>
      <c r="H67" s="138">
        <f t="shared" si="1"/>
        <v>19.411764705882355</v>
      </c>
      <c r="I67" s="71">
        <f t="shared" si="2"/>
        <v>17.6</v>
      </c>
      <c r="J67" s="62">
        <f t="shared" si="8"/>
        <v>1346.4000000000003</v>
      </c>
      <c r="K67" s="307"/>
      <c r="L67" s="410">
        <f>IF(OR(Калькуляция!$F67=3,),3,0)</f>
        <v>3</v>
      </c>
      <c r="M67" s="410">
        <f>IF(OR(Калькуляция!$F67=6,),6,0)</f>
        <v>0</v>
      </c>
      <c r="N67" s="410">
        <f>IF(OR(Калькуляция!$F67=9,),9,0)</f>
        <v>0</v>
      </c>
      <c r="O67" s="410">
        <f>IF(OR(Калькуляция!$F67=3,Калькуляция!$F67=6,Калькуляция!$F67=9,),369,0)</f>
        <v>369</v>
      </c>
      <c r="P67" s="144">
        <f t="shared" si="4"/>
        <v>0</v>
      </c>
      <c r="Q67" s="68">
        <f t="shared" si="5"/>
        <v>0</v>
      </c>
    </row>
    <row r="68" spans="1:17" s="30" customFormat="1" ht="12.75">
      <c r="A68" s="336">
        <f t="shared" si="7"/>
        <v>50</v>
      </c>
      <c r="B68" s="257" t="s">
        <v>239</v>
      </c>
      <c r="C68" s="258"/>
      <c r="D68" s="257" t="s">
        <v>36</v>
      </c>
      <c r="E68" s="259">
        <v>30</v>
      </c>
      <c r="F68" s="260">
        <v>6</v>
      </c>
      <c r="G68" s="261">
        <v>0</v>
      </c>
      <c r="H68" s="138">
        <f t="shared" si="1"/>
        <v>29.117647058823533</v>
      </c>
      <c r="I68" s="71">
        <f t="shared" si="2"/>
        <v>26.400000000000002</v>
      </c>
      <c r="J68" s="312">
        <f t="shared" si="8"/>
        <v>2019.6000000000004</v>
      </c>
      <c r="K68" s="307"/>
      <c r="L68" s="410">
        <f>IF(OR(Калькуляция!$F68=3,),3,0)</f>
        <v>0</v>
      </c>
      <c r="M68" s="410">
        <f>IF(OR(Калькуляция!$F68=6,),6,0)</f>
        <v>6</v>
      </c>
      <c r="N68" s="410">
        <f>IF(OR(Калькуляция!$F68=9,),9,0)</f>
        <v>0</v>
      </c>
      <c r="O68" s="410">
        <f>IF(OR(Калькуляция!$F68=3,Калькуляция!$F68=6,Калькуляция!$F68=9,),369,0)</f>
        <v>369</v>
      </c>
      <c r="P68" s="262">
        <f t="shared" si="4"/>
        <v>0</v>
      </c>
      <c r="Q68" s="263">
        <f t="shared" si="5"/>
        <v>0</v>
      </c>
    </row>
    <row r="69" spans="1:17" ht="33.75" customHeight="1">
      <c r="A69" s="493" t="s">
        <v>388</v>
      </c>
      <c r="B69" s="494"/>
      <c r="C69" s="494"/>
      <c r="D69" s="495"/>
      <c r="E69" s="496"/>
      <c r="F69" s="496"/>
      <c r="G69" s="496"/>
      <c r="H69" s="496"/>
      <c r="I69" s="496"/>
      <c r="J69" s="497"/>
      <c r="K69" s="309" t="str">
        <f>IF(Q69=0," ","Итого по разделу:")</f>
        <v> </v>
      </c>
      <c r="L69" s="410">
        <f>IF(OR(Калькуляция!$F69=3,),3,0)</f>
        <v>0</v>
      </c>
      <c r="M69" s="410">
        <f>IF(OR(Калькуляция!$F69=6,),6,0)</f>
        <v>0</v>
      </c>
      <c r="N69" s="410">
        <f>IF(OR(Калькуляция!$F69=9,),9,0)</f>
        <v>0</v>
      </c>
      <c r="O69" s="410">
        <f>IF(OR(Калькуляция!$F69=3,Калькуляция!$F69=6,Калькуляция!$F69=9,),369,0)</f>
        <v>0</v>
      </c>
      <c r="P69" s="311"/>
      <c r="Q69" s="340">
        <f>SUM(Q21:Q68)</f>
        <v>0</v>
      </c>
    </row>
    <row r="70" spans="1:17" s="29" customFormat="1" ht="18.75" customHeight="1">
      <c r="A70" s="469" t="s">
        <v>309</v>
      </c>
      <c r="B70" s="470"/>
      <c r="C70" s="470"/>
      <c r="D70" s="470"/>
      <c r="E70" s="470"/>
      <c r="F70" s="470"/>
      <c r="G70" s="470"/>
      <c r="H70" s="470"/>
      <c r="I70" s="470"/>
      <c r="J70" s="470"/>
      <c r="K70" s="344" t="str">
        <f>IF(Q84=0," ","(Разд.01)")</f>
        <v>(Разд.01)</v>
      </c>
      <c r="L70" s="410">
        <f>IF(OR(Калькуляция!$F70=3,),3,0)</f>
        <v>0</v>
      </c>
      <c r="M70" s="410">
        <f>IF(OR(Калькуляция!$F70=6,),6,0)</f>
        <v>0</v>
      </c>
      <c r="N70" s="410">
        <f>IF(OR(Калькуляция!$F70=9,),9,0)</f>
        <v>0</v>
      </c>
      <c r="O70" s="410">
        <f>IF(OR(Калькуляция!$F70=3,Калькуляция!$F70=6,Калькуляция!$F70=9,),369,0)</f>
        <v>0</v>
      </c>
      <c r="P70" s="308"/>
      <c r="Q70" s="310"/>
    </row>
    <row r="71" spans="1:17" s="29" customFormat="1" ht="12.75">
      <c r="A71" s="325">
        <f aca="true" t="shared" si="9" ref="A71:A83">ROW()-18</f>
        <v>53</v>
      </c>
      <c r="B71" s="69" t="s">
        <v>26</v>
      </c>
      <c r="C71" s="288" t="s">
        <v>357</v>
      </c>
      <c r="D71" s="70" t="s">
        <v>27</v>
      </c>
      <c r="E71" s="64">
        <v>50</v>
      </c>
      <c r="F71" s="65">
        <v>10</v>
      </c>
      <c r="G71" s="66">
        <v>0</v>
      </c>
      <c r="H71" s="138">
        <f aca="true" t="shared" si="10" ref="H71:H83">I71/$L$358</f>
        <v>60.66176470588236</v>
      </c>
      <c r="I71" s="71">
        <f aca="true" t="shared" si="11" ref="I71:I83">$J$7*(E71+PRODUCT(G71,$L$358))*IF(OR(F71=1,F71=10),(100-$D$15)/100,IF(OR(F71=3,F71=6,F71=9),(100-$D$16)/100,IF(OR(F71=2,F71=4),(100-$D$17)/100,1)))</f>
        <v>55.00000000000001</v>
      </c>
      <c r="J71" s="62">
        <f>PRODUCT(I71,1/$L$358,$L$357,1.02)</f>
        <v>4207.500000000001</v>
      </c>
      <c r="K71" s="307"/>
      <c r="L71" s="410">
        <f>IF(OR(Калькуляция!$F71=3,),3,0)</f>
        <v>0</v>
      </c>
      <c r="M71" s="410">
        <f>IF(OR(Калькуляция!$F71=6,),6,0)</f>
        <v>0</v>
      </c>
      <c r="N71" s="410">
        <f>IF(OR(Калькуляция!$F71=9,),9,0)</f>
        <v>0</v>
      </c>
      <c r="O71" s="410">
        <f>IF(OR(Калькуляция!$F71=3,Калькуляция!$F71=6,Калькуляция!$F71=9,),369,0)</f>
        <v>0</v>
      </c>
      <c r="P71" s="67">
        <f aca="true" t="shared" si="12" ref="P71:P83">I71*K71</f>
        <v>0</v>
      </c>
      <c r="Q71" s="68">
        <f aca="true" t="shared" si="13" ref="Q71:Q83">J71*K71</f>
        <v>0</v>
      </c>
    </row>
    <row r="72" spans="1:17" s="29" customFormat="1" ht="12.75">
      <c r="A72" s="325">
        <f t="shared" si="9"/>
        <v>54</v>
      </c>
      <c r="B72" s="69" t="s">
        <v>26</v>
      </c>
      <c r="C72" s="288" t="s">
        <v>247</v>
      </c>
      <c r="D72" s="70" t="s">
        <v>27</v>
      </c>
      <c r="E72" s="64">
        <v>70</v>
      </c>
      <c r="F72" s="65">
        <v>10</v>
      </c>
      <c r="G72" s="66">
        <v>0</v>
      </c>
      <c r="H72" s="138">
        <f t="shared" si="10"/>
        <v>84.9264705882353</v>
      </c>
      <c r="I72" s="71">
        <f t="shared" si="11"/>
        <v>77</v>
      </c>
      <c r="J72" s="62">
        <f>PRODUCT(I72,1/$L$358,$L$357,1.02)</f>
        <v>5890.500000000001</v>
      </c>
      <c r="K72" s="307"/>
      <c r="L72" s="410">
        <f>IF(OR(Калькуляция!$F72=3,),3,0)</f>
        <v>0</v>
      </c>
      <c r="M72" s="410">
        <f>IF(OR(Калькуляция!$F72=6,),6,0)</f>
        <v>0</v>
      </c>
      <c r="N72" s="410">
        <f>IF(OR(Калькуляция!$F72=9,),9,0)</f>
        <v>0</v>
      </c>
      <c r="O72" s="410">
        <f>IF(OR(Калькуляция!$F72=3,Калькуляция!$F72=6,Калькуляция!$F72=9,),369,0)</f>
        <v>0</v>
      </c>
      <c r="P72" s="67">
        <f t="shared" si="12"/>
        <v>0</v>
      </c>
      <c r="Q72" s="68">
        <f t="shared" si="13"/>
        <v>0</v>
      </c>
    </row>
    <row r="73" spans="1:17" s="29" customFormat="1" ht="12.75">
      <c r="A73" s="325">
        <f t="shared" si="9"/>
        <v>55</v>
      </c>
      <c r="B73" s="70" t="s">
        <v>447</v>
      </c>
      <c r="C73" s="289" t="s">
        <v>448</v>
      </c>
      <c r="D73" s="50" t="s">
        <v>27</v>
      </c>
      <c r="E73" s="64">
        <v>15</v>
      </c>
      <c r="F73" s="65">
        <v>1</v>
      </c>
      <c r="G73" s="66">
        <v>80</v>
      </c>
      <c r="H73" s="138">
        <f t="shared" si="10"/>
        <v>106.19852941176472</v>
      </c>
      <c r="I73" s="71">
        <f t="shared" si="11"/>
        <v>96.28666666666668</v>
      </c>
      <c r="J73" s="62">
        <f aca="true" t="shared" si="14" ref="J73:J78">PRODUCT(I73,1/$L$358,$L$357,1.02)</f>
        <v>7365.930000000001</v>
      </c>
      <c r="K73" s="307"/>
      <c r="L73" s="410">
        <f>IF(OR(Калькуляция!$F73=3,),3,0)</f>
        <v>0</v>
      </c>
      <c r="M73" s="410">
        <f>IF(OR(Калькуляция!$F73=6,),6,0)</f>
        <v>0</v>
      </c>
      <c r="N73" s="410">
        <f>IF(OR(Калькуляция!$F73=9,),9,0)</f>
        <v>0</v>
      </c>
      <c r="O73" s="410">
        <f>IF(OR(Калькуляция!$F73=3,Калькуляция!$F73=6,Калькуляция!$F73=9,),369,0)</f>
        <v>0</v>
      </c>
      <c r="P73" s="67">
        <f t="shared" si="12"/>
        <v>0</v>
      </c>
      <c r="Q73" s="68">
        <f t="shared" si="13"/>
        <v>0</v>
      </c>
    </row>
    <row r="74" spans="1:17" s="29" customFormat="1" ht="12.75">
      <c r="A74" s="325">
        <f t="shared" si="9"/>
        <v>56</v>
      </c>
      <c r="B74" s="70" t="s">
        <v>447</v>
      </c>
      <c r="C74" s="289" t="s">
        <v>449</v>
      </c>
      <c r="D74" s="50" t="s">
        <v>27</v>
      </c>
      <c r="E74" s="64">
        <v>15</v>
      </c>
      <c r="F74" s="65">
        <v>1</v>
      </c>
      <c r="G74" s="66">
        <v>122</v>
      </c>
      <c r="H74" s="138">
        <f>I74/$L$358</f>
        <v>152.3985294117647</v>
      </c>
      <c r="I74" s="71">
        <f>$J$7*(E74+PRODUCT(G74,$L$358))*IF(OR(F74=1,F74=10),(100-$D$15)/100,IF(OR(F74=3,F74=6,F74=9),(100-$D$16)/100,IF(OR(F74=2,F74=4),(100-$D$17)/100,1)))</f>
        <v>138.17466666666667</v>
      </c>
      <c r="J74" s="62">
        <f t="shared" si="14"/>
        <v>10570.362000000001</v>
      </c>
      <c r="K74" s="307">
        <v>1</v>
      </c>
      <c r="L74" s="410">
        <f>IF(OR(Калькуляция!$F74=3,),3,0)</f>
        <v>0</v>
      </c>
      <c r="M74" s="410">
        <f>IF(OR(Калькуляция!$F74=6,),6,0)</f>
        <v>0</v>
      </c>
      <c r="N74" s="410">
        <f>IF(OR(Калькуляция!$F74=9,),9,0)</f>
        <v>0</v>
      </c>
      <c r="O74" s="410">
        <f>IF(OR(Калькуляция!$F74=3,Калькуляция!$F74=6,Калькуляция!$F74=9,),369,0)</f>
        <v>0</v>
      </c>
      <c r="P74" s="67">
        <f>I74*K74</f>
        <v>138.17466666666667</v>
      </c>
      <c r="Q74" s="68">
        <f>J74*K74</f>
        <v>10570.362000000001</v>
      </c>
    </row>
    <row r="75" spans="1:17" s="29" customFormat="1" ht="12.75">
      <c r="A75" s="325">
        <f t="shared" si="9"/>
        <v>57</v>
      </c>
      <c r="B75" s="70" t="s">
        <v>447</v>
      </c>
      <c r="C75" s="289" t="s">
        <v>450</v>
      </c>
      <c r="D75" s="50" t="s">
        <v>27</v>
      </c>
      <c r="E75" s="64">
        <v>20</v>
      </c>
      <c r="F75" s="65">
        <v>1</v>
      </c>
      <c r="G75" s="66">
        <v>105</v>
      </c>
      <c r="H75" s="138">
        <f>I75/$L$358</f>
        <v>139.76470588235296</v>
      </c>
      <c r="I75" s="71">
        <f>$J$7*(E75+PRODUCT(G75,$L$358))*IF(OR(F75=1,F75=10),(100-$D$15)/100,IF(OR(F75=3,F75=6,F75=9),(100-$D$16)/100,IF(OR(F75=2,F75=4),(100-$D$17)/100,1)))</f>
        <v>126.72</v>
      </c>
      <c r="J75" s="62">
        <f t="shared" si="14"/>
        <v>9694.080000000002</v>
      </c>
      <c r="K75" s="307"/>
      <c r="L75" s="410">
        <f>IF(OR(Калькуляция!$F75=3,),3,0)</f>
        <v>0</v>
      </c>
      <c r="M75" s="410">
        <f>IF(OR(Калькуляция!$F75=6,),6,0)</f>
        <v>0</v>
      </c>
      <c r="N75" s="410">
        <f>IF(OR(Калькуляция!$F75=9,),9,0)</f>
        <v>0</v>
      </c>
      <c r="O75" s="410">
        <f>IF(OR(Калькуляция!$F75=3,Калькуляция!$F75=6,Калькуляция!$F75=9,),369,0)</f>
        <v>0</v>
      </c>
      <c r="P75" s="67">
        <f>I75*K75</f>
        <v>0</v>
      </c>
      <c r="Q75" s="68">
        <f>J75*K75</f>
        <v>0</v>
      </c>
    </row>
    <row r="76" spans="1:17" s="29" customFormat="1" ht="12.75">
      <c r="A76" s="325">
        <f t="shared" si="9"/>
        <v>58</v>
      </c>
      <c r="B76" s="70" t="s">
        <v>447</v>
      </c>
      <c r="C76" s="289" t="s">
        <v>451</v>
      </c>
      <c r="D76" s="50" t="s">
        <v>27</v>
      </c>
      <c r="E76" s="64">
        <v>20</v>
      </c>
      <c r="F76" s="65">
        <v>1</v>
      </c>
      <c r="G76" s="66">
        <v>147</v>
      </c>
      <c r="H76" s="138">
        <f>I76/$L$358</f>
        <v>185.96470588235294</v>
      </c>
      <c r="I76" s="71">
        <f>$J$7*(E76+PRODUCT(G76,$L$358))*IF(OR(F76=1,F76=10),(100-$D$15)/100,IF(OR(F76=3,F76=6,F76=9),(100-$D$16)/100,IF(OR(F76=2,F76=4),(100-$D$17)/100,1)))</f>
        <v>168.608</v>
      </c>
      <c r="J76" s="62">
        <f t="shared" si="14"/>
        <v>12898.512</v>
      </c>
      <c r="K76" s="307"/>
      <c r="L76" s="410">
        <f>IF(OR(Калькуляция!$F76=3,),3,0)</f>
        <v>0</v>
      </c>
      <c r="M76" s="410">
        <f>IF(OR(Калькуляция!$F76=6,),6,0)</f>
        <v>0</v>
      </c>
      <c r="N76" s="410">
        <f>IF(OR(Калькуляция!$F76=9,),9,0)</f>
        <v>0</v>
      </c>
      <c r="O76" s="410">
        <f>IF(OR(Калькуляция!$F76=3,Калькуляция!$F76=6,Калькуляция!$F76=9,),369,0)</f>
        <v>0</v>
      </c>
      <c r="P76" s="67">
        <f>I76*K76</f>
        <v>0</v>
      </c>
      <c r="Q76" s="68">
        <f>J76*K76</f>
        <v>0</v>
      </c>
    </row>
    <row r="77" spans="1:17" s="29" customFormat="1" ht="12.75">
      <c r="A77" s="448">
        <f t="shared" si="9"/>
        <v>59</v>
      </c>
      <c r="B77" s="449" t="s">
        <v>452</v>
      </c>
      <c r="C77" s="450" t="s">
        <v>454</v>
      </c>
      <c r="D77" s="451" t="s">
        <v>27</v>
      </c>
      <c r="E77" s="64"/>
      <c r="F77" s="65">
        <v>1</v>
      </c>
      <c r="G77" s="66">
        <v>20</v>
      </c>
      <c r="H77" s="138">
        <f>I77/$L$358</f>
        <v>22.000000000000004</v>
      </c>
      <c r="I77" s="71">
        <f>$J$7*(E77+PRODUCT(G77,$L$358))*IF(OR(F77=1,F77=10),(100-$D$15)/100,IF(OR(F77=3,F77=6,F77=9),(100-$D$16)/100,IF(OR(F77=2,F77=4),(100-$D$17)/100,1)))</f>
        <v>19.94666666666667</v>
      </c>
      <c r="J77" s="233">
        <f t="shared" si="14"/>
        <v>1525.9200000000003</v>
      </c>
      <c r="K77" s="307"/>
      <c r="L77" s="410">
        <f>IF(OR(Калькуляция!$F77=3,),3,0)</f>
        <v>0</v>
      </c>
      <c r="M77" s="410">
        <f>IF(OR(Калькуляция!$F77=6,),6,0)</f>
        <v>0</v>
      </c>
      <c r="N77" s="410">
        <f>IF(OR(Калькуляция!$F77=9,),9,0)</f>
        <v>0</v>
      </c>
      <c r="O77" s="410">
        <f>IF(OR(Калькуляция!$F77=3,Калькуляция!$F77=6,Калькуляция!$F77=9,),369,0)</f>
        <v>0</v>
      </c>
      <c r="P77" s="67">
        <f>I77*K77</f>
        <v>0</v>
      </c>
      <c r="Q77" s="68">
        <f>J77*K77</f>
        <v>0</v>
      </c>
    </row>
    <row r="78" spans="1:17" s="29" customFormat="1" ht="12.75">
      <c r="A78" s="448">
        <f t="shared" si="9"/>
        <v>60</v>
      </c>
      <c r="B78" s="449" t="s">
        <v>455</v>
      </c>
      <c r="C78" s="450" t="s">
        <v>453</v>
      </c>
      <c r="D78" s="451" t="s">
        <v>27</v>
      </c>
      <c r="E78" s="64"/>
      <c r="F78" s="65">
        <v>1</v>
      </c>
      <c r="G78" s="66">
        <v>34</v>
      </c>
      <c r="H78" s="138">
        <f>I78/$L$358</f>
        <v>37.400000000000006</v>
      </c>
      <c r="I78" s="71">
        <f>$J$7*(E78+PRODUCT(G78,$L$358))*IF(OR(F78=1,F78=10),(100-$D$15)/100,IF(OR(F78=3,F78=6,F78=9),(100-$D$16)/100,IF(OR(F78=2,F78=4),(100-$D$17)/100,1)))</f>
        <v>33.909333333333336</v>
      </c>
      <c r="J78" s="233">
        <f t="shared" si="14"/>
        <v>2594.0640000000003</v>
      </c>
      <c r="K78" s="307"/>
      <c r="L78" s="410">
        <f>IF(OR(Калькуляция!$F78=3,),3,0)</f>
        <v>0</v>
      </c>
      <c r="M78" s="410">
        <f>IF(OR(Калькуляция!$F78=6,),6,0)</f>
        <v>0</v>
      </c>
      <c r="N78" s="410">
        <f>IF(OR(Калькуляция!$F78=9,),9,0)</f>
        <v>0</v>
      </c>
      <c r="O78" s="410">
        <f>IF(OR(Калькуляция!$F78=3,Калькуляция!$F78=6,Калькуляция!$F78=9,),369,0)</f>
        <v>0</v>
      </c>
      <c r="P78" s="67">
        <f>I78*K78</f>
        <v>0</v>
      </c>
      <c r="Q78" s="68">
        <f>J78*K78</f>
        <v>0</v>
      </c>
    </row>
    <row r="79" spans="1:17" s="29" customFormat="1" ht="12.75">
      <c r="A79" s="325">
        <f t="shared" si="9"/>
        <v>61</v>
      </c>
      <c r="B79" s="70" t="s">
        <v>218</v>
      </c>
      <c r="C79" s="289" t="s">
        <v>248</v>
      </c>
      <c r="D79" s="50" t="s">
        <v>27</v>
      </c>
      <c r="E79" s="64">
        <v>280</v>
      </c>
      <c r="F79" s="65">
        <v>1</v>
      </c>
      <c r="G79" s="66">
        <v>0</v>
      </c>
      <c r="H79" s="138">
        <f t="shared" si="10"/>
        <v>339.7058823529412</v>
      </c>
      <c r="I79" s="71">
        <f t="shared" si="11"/>
        <v>308</v>
      </c>
      <c r="J79" s="62">
        <f>PRODUCT(I79,1/$L$358,$L$357,1.02)</f>
        <v>23562.000000000004</v>
      </c>
      <c r="K79" s="307"/>
      <c r="L79" s="410">
        <f>IF(OR(Калькуляция!$F79=3,),3,0)</f>
        <v>0</v>
      </c>
      <c r="M79" s="410">
        <f>IF(OR(Калькуляция!$F79=6,),6,0)</f>
        <v>0</v>
      </c>
      <c r="N79" s="410">
        <f>IF(OR(Калькуляция!$F79=9,),9,0)</f>
        <v>0</v>
      </c>
      <c r="O79" s="410">
        <f>IF(OR(Калькуляция!$F79=3,Калькуляция!$F79=6,Калькуляция!$F79=9,),369,0)</f>
        <v>0</v>
      </c>
      <c r="P79" s="67">
        <f t="shared" si="12"/>
        <v>0</v>
      </c>
      <c r="Q79" s="68">
        <f t="shared" si="13"/>
        <v>0</v>
      </c>
    </row>
    <row r="80" spans="1:17" s="29" customFormat="1" ht="12.75">
      <c r="A80" s="325">
        <f t="shared" si="9"/>
        <v>62</v>
      </c>
      <c r="B80" s="70" t="s">
        <v>218</v>
      </c>
      <c r="C80" s="289" t="s">
        <v>248</v>
      </c>
      <c r="D80" s="50" t="s">
        <v>27</v>
      </c>
      <c r="E80" s="64">
        <v>280</v>
      </c>
      <c r="F80" s="65">
        <v>1</v>
      </c>
      <c r="G80" s="66">
        <v>0</v>
      </c>
      <c r="H80" s="138">
        <f t="shared" si="10"/>
        <v>339.7058823529412</v>
      </c>
      <c r="I80" s="71">
        <f t="shared" si="11"/>
        <v>308</v>
      </c>
      <c r="J80" s="62">
        <f>PRODUCT(I80,1/$L$358,$L$357,1.02)</f>
        <v>23562.000000000004</v>
      </c>
      <c r="K80" s="307"/>
      <c r="L80" s="410">
        <f>IF(OR(Калькуляция!$F80=3,),3,0)</f>
        <v>0</v>
      </c>
      <c r="M80" s="410">
        <f>IF(OR(Калькуляция!$F80=6,),6,0)</f>
        <v>0</v>
      </c>
      <c r="N80" s="410">
        <f>IF(OR(Калькуляция!$F80=9,),9,0)</f>
        <v>0</v>
      </c>
      <c r="O80" s="410">
        <f>IF(OR(Калькуляция!$F80=3,Калькуляция!$F80=6,Калькуляция!$F80=9,),369,0)</f>
        <v>0</v>
      </c>
      <c r="P80" s="67">
        <f t="shared" si="12"/>
        <v>0</v>
      </c>
      <c r="Q80" s="68">
        <f t="shared" si="13"/>
        <v>0</v>
      </c>
    </row>
    <row r="81" spans="1:17" ht="12.75">
      <c r="A81" s="325">
        <f t="shared" si="9"/>
        <v>63</v>
      </c>
      <c r="B81" s="72" t="s">
        <v>28</v>
      </c>
      <c r="C81" s="73" t="s">
        <v>29</v>
      </c>
      <c r="D81" s="51" t="s">
        <v>30</v>
      </c>
      <c r="E81" s="74">
        <v>20</v>
      </c>
      <c r="F81" s="75">
        <v>2</v>
      </c>
      <c r="G81" s="76">
        <v>0</v>
      </c>
      <c r="H81" s="138">
        <f t="shared" si="10"/>
        <v>24.264705882352942</v>
      </c>
      <c r="I81" s="71">
        <f t="shared" si="11"/>
        <v>22</v>
      </c>
      <c r="J81" s="62">
        <f>PRODUCT(I81,1/$L$358,$L$357,1.02)</f>
        <v>1683</v>
      </c>
      <c r="K81" s="307">
        <v>1</v>
      </c>
      <c r="L81" s="410">
        <f>IF(OR(Калькуляция!$F81=3,),3,0)</f>
        <v>0</v>
      </c>
      <c r="M81" s="410">
        <f>IF(OR(Калькуляция!$F81=6,),6,0)</f>
        <v>0</v>
      </c>
      <c r="N81" s="410">
        <f>IF(OR(Калькуляция!$F81=9,),9,0)</f>
        <v>0</v>
      </c>
      <c r="O81" s="410">
        <f>IF(OR(Калькуляция!$F81=3,Калькуляция!$F81=6,Калькуляция!$F81=9,),369,0)</f>
        <v>0</v>
      </c>
      <c r="P81" s="67">
        <f t="shared" si="12"/>
        <v>22</v>
      </c>
      <c r="Q81" s="68">
        <f t="shared" si="13"/>
        <v>1683</v>
      </c>
    </row>
    <row r="82" spans="1:17" ht="12.75">
      <c r="A82" s="325">
        <f t="shared" si="9"/>
        <v>64</v>
      </c>
      <c r="B82" s="51" t="s">
        <v>31</v>
      </c>
      <c r="C82" s="73" t="s">
        <v>29</v>
      </c>
      <c r="D82" s="51" t="s">
        <v>32</v>
      </c>
      <c r="E82" s="77">
        <v>20</v>
      </c>
      <c r="F82" s="78">
        <v>3</v>
      </c>
      <c r="G82" s="79">
        <v>0</v>
      </c>
      <c r="H82" s="138">
        <f t="shared" si="10"/>
        <v>19.411764705882355</v>
      </c>
      <c r="I82" s="71">
        <f t="shared" si="11"/>
        <v>17.6</v>
      </c>
      <c r="J82" s="347">
        <f>PRODUCT(I82,1/$L$358,$L$357,1.02)</f>
        <v>1346.4000000000003</v>
      </c>
      <c r="K82" s="307">
        <v>1</v>
      </c>
      <c r="L82" s="410">
        <f>IF(OR(Калькуляция!$F82=3,),3,0)</f>
        <v>3</v>
      </c>
      <c r="M82" s="410">
        <f>IF(OR(Калькуляция!$F82=6,),6,0)</f>
        <v>0</v>
      </c>
      <c r="N82" s="410">
        <f>IF(OR(Калькуляция!$F82=9,),9,0)</f>
        <v>0</v>
      </c>
      <c r="O82" s="410">
        <f>IF(OR(Калькуляция!$F82=3,Калькуляция!$F82=6,Калькуляция!$F82=9,),369,0)</f>
        <v>369</v>
      </c>
      <c r="P82" s="80">
        <f t="shared" si="12"/>
        <v>17.6</v>
      </c>
      <c r="Q82" s="68">
        <f t="shared" si="13"/>
        <v>1346.4000000000003</v>
      </c>
    </row>
    <row r="83" spans="1:17" s="236" customFormat="1" ht="12.75">
      <c r="A83" s="326">
        <f t="shared" si="9"/>
        <v>65</v>
      </c>
      <c r="B83" s="226" t="s">
        <v>360</v>
      </c>
      <c r="C83" s="237"/>
      <c r="D83" s="238" t="s">
        <v>27</v>
      </c>
      <c r="E83" s="239">
        <v>10</v>
      </c>
      <c r="F83" s="240">
        <v>3</v>
      </c>
      <c r="G83" s="241">
        <v>0</v>
      </c>
      <c r="H83" s="138">
        <f t="shared" si="10"/>
        <v>9.705882352941178</v>
      </c>
      <c r="I83" s="71">
        <f t="shared" si="11"/>
        <v>8.8</v>
      </c>
      <c r="J83" s="349">
        <f>PRODUCT(I83,1/$L$358,$L$357,1.02)</f>
        <v>673.2000000000002</v>
      </c>
      <c r="K83" s="307"/>
      <c r="L83" s="410">
        <f>IF(OR(Калькуляция!$F83=3,),3,0)</f>
        <v>3</v>
      </c>
      <c r="M83" s="410">
        <f>IF(OR(Калькуляция!$F83=6,),6,0)</f>
        <v>0</v>
      </c>
      <c r="N83" s="410">
        <f>IF(OR(Калькуляция!$F83=9,),9,0)</f>
        <v>0</v>
      </c>
      <c r="O83" s="410">
        <f>IF(OR(Калькуляция!$F83=3,Калькуляция!$F83=6,Калькуляция!$F83=9,),369,0)</f>
        <v>369</v>
      </c>
      <c r="P83" s="234">
        <f t="shared" si="12"/>
        <v>0</v>
      </c>
      <c r="Q83" s="235">
        <f t="shared" si="13"/>
        <v>0</v>
      </c>
    </row>
    <row r="84" spans="1:17" ht="40.5" customHeight="1">
      <c r="A84" s="472" t="s">
        <v>311</v>
      </c>
      <c r="B84" s="473"/>
      <c r="C84" s="473"/>
      <c r="D84" s="474"/>
      <c r="E84" s="475"/>
      <c r="F84" s="475"/>
      <c r="G84" s="475"/>
      <c r="H84" s="475"/>
      <c r="I84" s="475"/>
      <c r="J84" s="476"/>
      <c r="K84" s="374" t="str">
        <f>IF(Q84=0," ","Итого по разделу:")</f>
        <v>Итого по разделу:</v>
      </c>
      <c r="L84" s="410">
        <f>IF(OR(Калькуляция!$F84=3,),3,0)</f>
        <v>0</v>
      </c>
      <c r="M84" s="410">
        <f>IF(OR(Калькуляция!$F84=6,),6,0)</f>
        <v>0</v>
      </c>
      <c r="N84" s="410">
        <f>IF(OR(Калькуляция!$F84=9,),9,0)</f>
        <v>0</v>
      </c>
      <c r="O84" s="410">
        <f>IF(OR(Калькуляция!$F84=3,Калькуляция!$F84=6,Калькуляция!$F84=9,),369,0)</f>
        <v>0</v>
      </c>
      <c r="P84" s="311"/>
      <c r="Q84" s="310">
        <f>SUM(Q71:Q83)</f>
        <v>13599.762</v>
      </c>
    </row>
    <row r="85" spans="1:17" s="29" customFormat="1" ht="18.75" customHeight="1">
      <c r="A85" s="469" t="s">
        <v>3</v>
      </c>
      <c r="B85" s="470"/>
      <c r="C85" s="470"/>
      <c r="D85" s="470"/>
      <c r="E85" s="470"/>
      <c r="F85" s="470"/>
      <c r="G85" s="470"/>
      <c r="H85" s="470"/>
      <c r="I85" s="470"/>
      <c r="J85" s="470"/>
      <c r="K85" s="344" t="str">
        <f>IF(Q116=0," ","(Разд.02)")</f>
        <v> </v>
      </c>
      <c r="L85" s="410">
        <f>IF(OR(Калькуляция!$F85=3,),3,0)</f>
        <v>0</v>
      </c>
      <c r="M85" s="410">
        <f>IF(OR(Калькуляция!$F85=6,),6,0)</f>
        <v>0</v>
      </c>
      <c r="N85" s="410">
        <f>IF(OR(Калькуляция!$F85=9,),9,0)</f>
        <v>0</v>
      </c>
      <c r="O85" s="410">
        <f>IF(OR(Калькуляция!$F85=3,Калькуляция!$F85=6,Калькуляция!$F85=9,),369,0)</f>
        <v>0</v>
      </c>
      <c r="P85" s="308"/>
      <c r="Q85" s="343"/>
    </row>
    <row r="86" spans="1:17" s="29" customFormat="1" ht="12.75">
      <c r="A86" s="321">
        <f aca="true" t="shared" si="15" ref="A86:A115">ROW()-18</f>
        <v>68</v>
      </c>
      <c r="B86" s="58" t="s">
        <v>192</v>
      </c>
      <c r="C86" s="145" t="s">
        <v>279</v>
      </c>
      <c r="D86" s="58" t="s">
        <v>27</v>
      </c>
      <c r="E86" s="146">
        <v>190</v>
      </c>
      <c r="F86" s="147">
        <v>1</v>
      </c>
      <c r="G86" s="148">
        <v>0</v>
      </c>
      <c r="H86" s="138">
        <f aca="true" t="shared" si="16" ref="H86:H115">I86/$L$358</f>
        <v>230.51470588235298</v>
      </c>
      <c r="I86" s="71">
        <f aca="true" t="shared" si="17" ref="I86:I115">$J$7*(E86+PRODUCT(G86,$L$358))*IF(OR(F86=1,F86=10),(100-$D$15)/100,IF(OR(F86=3,F86=6,F86=9),(100-$D$16)/100,IF(OR(F86=2,F86=4),(100-$D$17)/100,1)))</f>
        <v>209.00000000000003</v>
      </c>
      <c r="J86" s="62">
        <f aca="true" t="shared" si="18" ref="J86:J115">PRODUCT(I86,1/$L$358,$L$357,1.02)</f>
        <v>15988.500000000004</v>
      </c>
      <c r="K86" s="307"/>
      <c r="L86" s="410">
        <f>IF(OR(Калькуляция!$F86=3,),3,0)</f>
        <v>0</v>
      </c>
      <c r="M86" s="410">
        <f>IF(OR(Калькуляция!$F86=6,),6,0)</f>
        <v>0</v>
      </c>
      <c r="N86" s="410">
        <f>IF(OR(Калькуляция!$F86=9,),9,0)</f>
        <v>0</v>
      </c>
      <c r="O86" s="410">
        <f>IF(OR(Калькуляция!$F86=3,Калькуляция!$F86=6,Калькуляция!$F86=9,),369,0)</f>
        <v>0</v>
      </c>
      <c r="P86" s="149">
        <f aca="true" t="shared" si="19" ref="P86:P115">I86*K86</f>
        <v>0</v>
      </c>
      <c r="Q86" s="68">
        <f aca="true" t="shared" si="20" ref="Q86:Q115">J86*K86</f>
        <v>0</v>
      </c>
    </row>
    <row r="87" spans="1:17" s="29" customFormat="1" ht="12.75">
      <c r="A87" s="337">
        <f t="shared" si="15"/>
        <v>69</v>
      </c>
      <c r="B87" s="185" t="s">
        <v>192</v>
      </c>
      <c r="C87" s="185" t="s">
        <v>280</v>
      </c>
      <c r="D87" s="185" t="s">
        <v>27</v>
      </c>
      <c r="E87" s="146">
        <v>250</v>
      </c>
      <c r="F87" s="147">
        <v>1</v>
      </c>
      <c r="G87" s="148">
        <v>0</v>
      </c>
      <c r="H87" s="138">
        <f t="shared" si="16"/>
        <v>303.30882352941177</v>
      </c>
      <c r="I87" s="71">
        <f t="shared" si="17"/>
        <v>275</v>
      </c>
      <c r="J87" s="62">
        <f t="shared" si="18"/>
        <v>21037.5</v>
      </c>
      <c r="K87" s="307"/>
      <c r="L87" s="410">
        <f>IF(OR(Калькуляция!$F87=3,),3,0)</f>
        <v>0</v>
      </c>
      <c r="M87" s="410">
        <f>IF(OR(Калькуляция!$F87=6,),6,0)</f>
        <v>0</v>
      </c>
      <c r="N87" s="410">
        <f>IF(OR(Калькуляция!$F87=9,),9,0)</f>
        <v>0</v>
      </c>
      <c r="O87" s="410">
        <f>IF(OR(Калькуляция!$F87=3,Калькуляция!$F87=6,Калькуляция!$F87=9,),369,0)</f>
        <v>0</v>
      </c>
      <c r="P87" s="149">
        <f t="shared" si="19"/>
        <v>0</v>
      </c>
      <c r="Q87" s="68">
        <f t="shared" si="20"/>
        <v>0</v>
      </c>
    </row>
    <row r="88" spans="1:17" s="29" customFormat="1" ht="12.75">
      <c r="A88" s="321">
        <f t="shared" si="15"/>
        <v>70</v>
      </c>
      <c r="B88" s="58" t="s">
        <v>192</v>
      </c>
      <c r="C88" s="145" t="s">
        <v>281</v>
      </c>
      <c r="D88" s="58" t="s">
        <v>27</v>
      </c>
      <c r="E88" s="146">
        <v>337</v>
      </c>
      <c r="F88" s="147">
        <v>1</v>
      </c>
      <c r="G88" s="148">
        <v>0</v>
      </c>
      <c r="H88" s="138">
        <f t="shared" si="16"/>
        <v>408.86029411764713</v>
      </c>
      <c r="I88" s="71">
        <f t="shared" si="17"/>
        <v>370.70000000000005</v>
      </c>
      <c r="J88" s="62">
        <f t="shared" si="18"/>
        <v>28358.550000000003</v>
      </c>
      <c r="K88" s="307"/>
      <c r="L88" s="410">
        <f>IF(OR(Калькуляция!$F88=3,),3,0)</f>
        <v>0</v>
      </c>
      <c r="M88" s="410">
        <f>IF(OR(Калькуляция!$F88=6,),6,0)</f>
        <v>0</v>
      </c>
      <c r="N88" s="410">
        <f>IF(OR(Калькуляция!$F88=9,),9,0)</f>
        <v>0</v>
      </c>
      <c r="O88" s="410">
        <f>IF(OR(Калькуляция!$F88=3,Калькуляция!$F88=6,Калькуляция!$F88=9,),369,0)</f>
        <v>0</v>
      </c>
      <c r="P88" s="149">
        <f t="shared" si="19"/>
        <v>0</v>
      </c>
      <c r="Q88" s="68">
        <f t="shared" si="20"/>
        <v>0</v>
      </c>
    </row>
    <row r="89" spans="1:21" s="29" customFormat="1" ht="12.75">
      <c r="A89" s="321">
        <f t="shared" si="15"/>
        <v>71</v>
      </c>
      <c r="B89" s="58" t="s">
        <v>192</v>
      </c>
      <c r="C89" s="145" t="s">
        <v>282</v>
      </c>
      <c r="D89" s="58" t="s">
        <v>27</v>
      </c>
      <c r="E89" s="146">
        <v>415</v>
      </c>
      <c r="F89" s="147">
        <v>1</v>
      </c>
      <c r="G89" s="148">
        <v>0</v>
      </c>
      <c r="H89" s="138">
        <f t="shared" si="16"/>
        <v>503.4926470588236</v>
      </c>
      <c r="I89" s="71">
        <f t="shared" si="17"/>
        <v>456.50000000000006</v>
      </c>
      <c r="J89" s="62">
        <f t="shared" si="18"/>
        <v>34922.25000000001</v>
      </c>
      <c r="K89" s="307"/>
      <c r="L89" s="410">
        <f>IF(OR(Калькуляция!$F89=3,),3,0)</f>
        <v>0</v>
      </c>
      <c r="M89" s="410">
        <f>IF(OR(Калькуляция!$F89=6,),6,0)</f>
        <v>0</v>
      </c>
      <c r="N89" s="410">
        <f>IF(OR(Калькуляция!$F89=9,),9,0)</f>
        <v>0</v>
      </c>
      <c r="O89" s="410">
        <f>IF(OR(Калькуляция!$F89=3,Калькуляция!$F89=6,Калькуляция!$F89=9,),369,0)</f>
        <v>0</v>
      </c>
      <c r="P89" s="149">
        <f t="shared" si="19"/>
        <v>0</v>
      </c>
      <c r="Q89" s="68">
        <f t="shared" si="20"/>
        <v>0</v>
      </c>
      <c r="R89" s="31"/>
      <c r="S89" s="31"/>
      <c r="T89" s="31"/>
      <c r="U89" s="32"/>
    </row>
    <row r="90" spans="1:21" s="29" customFormat="1" ht="12.75">
      <c r="A90" s="321">
        <f t="shared" si="15"/>
        <v>72</v>
      </c>
      <c r="B90" s="58" t="s">
        <v>192</v>
      </c>
      <c r="C90" s="145" t="s">
        <v>364</v>
      </c>
      <c r="D90" s="58" t="s">
        <v>27</v>
      </c>
      <c r="E90" s="146">
        <v>590</v>
      </c>
      <c r="F90" s="147">
        <v>1</v>
      </c>
      <c r="G90" s="148">
        <v>300</v>
      </c>
      <c r="H90" s="138">
        <f t="shared" si="16"/>
        <v>1045.808823529412</v>
      </c>
      <c r="I90" s="71">
        <f t="shared" si="17"/>
        <v>948.2</v>
      </c>
      <c r="J90" s="62">
        <f t="shared" si="18"/>
        <v>72537.30000000002</v>
      </c>
      <c r="K90" s="307"/>
      <c r="L90" s="410">
        <f>IF(OR(Калькуляция!$F90=3,),3,0)</f>
        <v>0</v>
      </c>
      <c r="M90" s="410">
        <f>IF(OR(Калькуляция!$F90=6,),6,0)</f>
        <v>0</v>
      </c>
      <c r="N90" s="410">
        <f>IF(OR(Калькуляция!$F90=9,),9,0)</f>
        <v>0</v>
      </c>
      <c r="O90" s="410">
        <f>IF(OR(Калькуляция!$F90=3,Калькуляция!$F90=6,Калькуляция!$F90=9,),369,0)</f>
        <v>0</v>
      </c>
      <c r="P90" s="149">
        <f t="shared" si="19"/>
        <v>0</v>
      </c>
      <c r="Q90" s="68">
        <f t="shared" si="20"/>
        <v>0</v>
      </c>
      <c r="R90" s="31"/>
      <c r="S90" s="31"/>
      <c r="T90" s="31"/>
      <c r="U90" s="32"/>
    </row>
    <row r="91" spans="1:21" s="29" customFormat="1" ht="12.75">
      <c r="A91" s="321">
        <f t="shared" si="15"/>
        <v>73</v>
      </c>
      <c r="B91" s="58" t="s">
        <v>192</v>
      </c>
      <c r="C91" s="145" t="s">
        <v>365</v>
      </c>
      <c r="D91" s="58" t="s">
        <v>27</v>
      </c>
      <c r="E91" s="146">
        <v>995</v>
      </c>
      <c r="F91" s="147">
        <v>1</v>
      </c>
      <c r="G91" s="148">
        <v>350</v>
      </c>
      <c r="H91" s="138">
        <f t="shared" si="16"/>
        <v>1592.1691176470588</v>
      </c>
      <c r="I91" s="71">
        <f t="shared" si="17"/>
        <v>1443.5666666666666</v>
      </c>
      <c r="J91" s="62">
        <f t="shared" si="18"/>
        <v>110432.85</v>
      </c>
      <c r="K91" s="307"/>
      <c r="L91" s="410">
        <f>IF(OR(Калькуляция!$F91=3,),3,0)</f>
        <v>0</v>
      </c>
      <c r="M91" s="410">
        <f>IF(OR(Калькуляция!$F91=6,),6,0)</f>
        <v>0</v>
      </c>
      <c r="N91" s="410">
        <f>IF(OR(Калькуляция!$F91=9,),9,0)</f>
        <v>0</v>
      </c>
      <c r="O91" s="410">
        <f>IF(OR(Калькуляция!$F91=3,Калькуляция!$F91=6,Калькуляция!$F91=9,),369,0)</f>
        <v>0</v>
      </c>
      <c r="P91" s="149">
        <f t="shared" si="19"/>
        <v>0</v>
      </c>
      <c r="Q91" s="68">
        <f t="shared" si="20"/>
        <v>0</v>
      </c>
      <c r="R91" s="31"/>
      <c r="S91" s="31"/>
      <c r="T91" s="31"/>
      <c r="U91" s="32"/>
    </row>
    <row r="92" spans="1:17" s="29" customFormat="1" ht="12.75">
      <c r="A92" s="321">
        <f t="shared" si="15"/>
        <v>74</v>
      </c>
      <c r="B92" s="58" t="s">
        <v>158</v>
      </c>
      <c r="C92" s="145" t="s">
        <v>283</v>
      </c>
      <c r="D92" s="58" t="s">
        <v>27</v>
      </c>
      <c r="E92" s="146">
        <v>56</v>
      </c>
      <c r="F92" s="147">
        <v>1</v>
      </c>
      <c r="G92" s="148">
        <v>0</v>
      </c>
      <c r="H92" s="138">
        <f t="shared" si="16"/>
        <v>67.94117647058825</v>
      </c>
      <c r="I92" s="71">
        <f t="shared" si="17"/>
        <v>61.60000000000001</v>
      </c>
      <c r="J92" s="62">
        <f t="shared" si="18"/>
        <v>4712.4000000000015</v>
      </c>
      <c r="K92" s="307"/>
      <c r="L92" s="410">
        <f>IF(OR(Калькуляция!$F92=3,),3,0)</f>
        <v>0</v>
      </c>
      <c r="M92" s="410">
        <f>IF(OR(Калькуляция!$F92=6,),6,0)</f>
        <v>0</v>
      </c>
      <c r="N92" s="410">
        <f>IF(OR(Калькуляция!$F92=9,),9,0)</f>
        <v>0</v>
      </c>
      <c r="O92" s="410">
        <f>IF(OR(Калькуляция!$F92=3,Калькуляция!$F92=6,Калькуляция!$F92=9,),369,0)</f>
        <v>0</v>
      </c>
      <c r="P92" s="149">
        <f t="shared" si="19"/>
        <v>0</v>
      </c>
      <c r="Q92" s="68">
        <f t="shared" si="20"/>
        <v>0</v>
      </c>
    </row>
    <row r="93" spans="1:17" s="29" customFormat="1" ht="12.75">
      <c r="A93" s="337">
        <f t="shared" si="15"/>
        <v>75</v>
      </c>
      <c r="B93" s="185" t="s">
        <v>158</v>
      </c>
      <c r="C93" s="185" t="s">
        <v>284</v>
      </c>
      <c r="D93" s="185" t="s">
        <v>27</v>
      </c>
      <c r="E93" s="146">
        <v>69</v>
      </c>
      <c r="F93" s="147">
        <v>1</v>
      </c>
      <c r="G93" s="148">
        <v>0</v>
      </c>
      <c r="H93" s="138">
        <f t="shared" si="16"/>
        <v>83.71323529411765</v>
      </c>
      <c r="I93" s="71">
        <f t="shared" si="17"/>
        <v>75.9</v>
      </c>
      <c r="J93" s="62">
        <f t="shared" si="18"/>
        <v>5806.350000000001</v>
      </c>
      <c r="K93" s="307"/>
      <c r="L93" s="410">
        <f>IF(OR(Калькуляция!$F93=3,),3,0)</f>
        <v>0</v>
      </c>
      <c r="M93" s="410">
        <f>IF(OR(Калькуляция!$F93=6,),6,0)</f>
        <v>0</v>
      </c>
      <c r="N93" s="410">
        <f>IF(OR(Калькуляция!$F93=9,),9,0)</f>
        <v>0</v>
      </c>
      <c r="O93" s="410">
        <f>IF(OR(Калькуляция!$F93=3,Калькуляция!$F93=6,Калькуляция!$F93=9,),369,0)</f>
        <v>0</v>
      </c>
      <c r="P93" s="149">
        <f t="shared" si="19"/>
        <v>0</v>
      </c>
      <c r="Q93" s="68">
        <f t="shared" si="20"/>
        <v>0</v>
      </c>
    </row>
    <row r="94" spans="1:17" s="29" customFormat="1" ht="12.75">
      <c r="A94" s="321">
        <f t="shared" si="15"/>
        <v>76</v>
      </c>
      <c r="B94" s="58" t="s">
        <v>159</v>
      </c>
      <c r="C94" s="145" t="s">
        <v>285</v>
      </c>
      <c r="D94" s="58" t="s">
        <v>27</v>
      </c>
      <c r="E94" s="146">
        <v>33</v>
      </c>
      <c r="F94" s="147">
        <v>10</v>
      </c>
      <c r="G94" s="148">
        <v>0</v>
      </c>
      <c r="H94" s="138">
        <f t="shared" si="16"/>
        <v>40.03676470588236</v>
      </c>
      <c r="I94" s="71">
        <f t="shared" si="17"/>
        <v>36.300000000000004</v>
      </c>
      <c r="J94" s="62">
        <f t="shared" si="18"/>
        <v>2776.9500000000007</v>
      </c>
      <c r="K94" s="307"/>
      <c r="L94" s="410">
        <f>IF(OR(Калькуляция!$F94=3,),3,0)</f>
        <v>0</v>
      </c>
      <c r="M94" s="410">
        <f>IF(OR(Калькуляция!$F94=6,),6,0)</f>
        <v>0</v>
      </c>
      <c r="N94" s="410">
        <f>IF(OR(Калькуляция!$F94=9,),9,0)</f>
        <v>0</v>
      </c>
      <c r="O94" s="410">
        <f>IF(OR(Калькуляция!$F94=3,Калькуляция!$F94=6,Калькуляция!$F94=9,),369,0)</f>
        <v>0</v>
      </c>
      <c r="P94" s="149">
        <f t="shared" si="19"/>
        <v>0</v>
      </c>
      <c r="Q94" s="68">
        <f t="shared" si="20"/>
        <v>0</v>
      </c>
    </row>
    <row r="95" spans="1:17" s="29" customFormat="1" ht="12.75">
      <c r="A95" s="321">
        <f t="shared" si="15"/>
        <v>77</v>
      </c>
      <c r="B95" s="58" t="s">
        <v>160</v>
      </c>
      <c r="C95" s="145" t="s">
        <v>286</v>
      </c>
      <c r="D95" s="58" t="s">
        <v>27</v>
      </c>
      <c r="E95" s="146">
        <v>44</v>
      </c>
      <c r="F95" s="147">
        <v>10</v>
      </c>
      <c r="G95" s="148">
        <v>0</v>
      </c>
      <c r="H95" s="138">
        <f t="shared" si="16"/>
        <v>53.38235294117648</v>
      </c>
      <c r="I95" s="71">
        <f t="shared" si="17"/>
        <v>48.400000000000006</v>
      </c>
      <c r="J95" s="62">
        <f t="shared" si="18"/>
        <v>3702.6000000000004</v>
      </c>
      <c r="K95" s="307"/>
      <c r="L95" s="410">
        <f>IF(OR(Калькуляция!$F95=3,),3,0)</f>
        <v>0</v>
      </c>
      <c r="M95" s="410">
        <f>IF(OR(Калькуляция!$F95=6,),6,0)</f>
        <v>0</v>
      </c>
      <c r="N95" s="410">
        <f>IF(OR(Калькуляция!$F95=9,),9,0)</f>
        <v>0</v>
      </c>
      <c r="O95" s="410">
        <f>IF(OR(Калькуляция!$F95=3,Калькуляция!$F95=6,Калькуляция!$F95=9,),369,0)</f>
        <v>0</v>
      </c>
      <c r="P95" s="149">
        <f t="shared" si="19"/>
        <v>0</v>
      </c>
      <c r="Q95" s="68">
        <f t="shared" si="20"/>
        <v>0</v>
      </c>
    </row>
    <row r="96" spans="1:17" s="29" customFormat="1" ht="12.75">
      <c r="A96" s="321">
        <f t="shared" si="15"/>
        <v>78</v>
      </c>
      <c r="B96" s="58" t="s">
        <v>160</v>
      </c>
      <c r="C96" s="145" t="s">
        <v>250</v>
      </c>
      <c r="D96" s="58" t="s">
        <v>27</v>
      </c>
      <c r="E96" s="146">
        <v>61</v>
      </c>
      <c r="F96" s="147">
        <v>10</v>
      </c>
      <c r="G96" s="148">
        <v>0</v>
      </c>
      <c r="H96" s="138">
        <f t="shared" si="16"/>
        <v>74.00735294117648</v>
      </c>
      <c r="I96" s="71">
        <f t="shared" si="17"/>
        <v>67.10000000000001</v>
      </c>
      <c r="J96" s="62">
        <f t="shared" si="18"/>
        <v>5133.150000000002</v>
      </c>
      <c r="K96" s="307"/>
      <c r="L96" s="410">
        <f>IF(OR(Калькуляция!$F96=3,),3,0)</f>
        <v>0</v>
      </c>
      <c r="M96" s="410">
        <f>IF(OR(Калькуляция!$F96=6,),6,0)</f>
        <v>0</v>
      </c>
      <c r="N96" s="410">
        <f>IF(OR(Калькуляция!$F96=9,),9,0)</f>
        <v>0</v>
      </c>
      <c r="O96" s="410">
        <f>IF(OR(Калькуляция!$F96=3,Калькуляция!$F96=6,Калькуляция!$F96=9,),369,0)</f>
        <v>0</v>
      </c>
      <c r="P96" s="149">
        <f t="shared" si="19"/>
        <v>0</v>
      </c>
      <c r="Q96" s="68">
        <f t="shared" si="20"/>
        <v>0</v>
      </c>
    </row>
    <row r="97" spans="1:17" s="29" customFormat="1" ht="12.75">
      <c r="A97" s="321">
        <f t="shared" si="15"/>
        <v>79</v>
      </c>
      <c r="B97" s="58" t="s">
        <v>288</v>
      </c>
      <c r="C97" s="145" t="s">
        <v>287</v>
      </c>
      <c r="D97" s="58" t="s">
        <v>27</v>
      </c>
      <c r="E97" s="146">
        <v>16.5</v>
      </c>
      <c r="F97" s="147">
        <v>10</v>
      </c>
      <c r="G97" s="148">
        <v>0</v>
      </c>
      <c r="H97" s="138">
        <f t="shared" si="16"/>
        <v>20.01838235294118</v>
      </c>
      <c r="I97" s="71">
        <f t="shared" si="17"/>
        <v>18.150000000000002</v>
      </c>
      <c r="J97" s="62">
        <f t="shared" si="18"/>
        <v>1388.4750000000004</v>
      </c>
      <c r="K97" s="307"/>
      <c r="L97" s="410">
        <f>IF(OR(Калькуляция!$F97=3,),3,0)</f>
        <v>0</v>
      </c>
      <c r="M97" s="410">
        <f>IF(OR(Калькуляция!$F97=6,),6,0)</f>
        <v>0</v>
      </c>
      <c r="N97" s="410">
        <f>IF(OR(Калькуляция!$F97=9,),9,0)</f>
        <v>0</v>
      </c>
      <c r="O97" s="410">
        <f>IF(OR(Калькуляция!$F97=3,Калькуляция!$F97=6,Калькуляция!$F97=9,),369,0)</f>
        <v>0</v>
      </c>
      <c r="P97" s="149">
        <f t="shared" si="19"/>
        <v>0</v>
      </c>
      <c r="Q97" s="68">
        <f t="shared" si="20"/>
        <v>0</v>
      </c>
    </row>
    <row r="98" spans="1:17" s="29" customFormat="1" ht="12.75">
      <c r="A98" s="321">
        <f t="shared" si="15"/>
        <v>80</v>
      </c>
      <c r="B98" s="58" t="s">
        <v>409</v>
      </c>
      <c r="C98" s="145"/>
      <c r="D98" s="58" t="s">
        <v>27</v>
      </c>
      <c r="E98" s="146">
        <v>14</v>
      </c>
      <c r="F98" s="147">
        <v>10</v>
      </c>
      <c r="G98" s="148">
        <v>0</v>
      </c>
      <c r="H98" s="138">
        <f t="shared" si="16"/>
        <v>16.98529411764706</v>
      </c>
      <c r="I98" s="71">
        <f t="shared" si="17"/>
        <v>15.400000000000002</v>
      </c>
      <c r="J98" s="62">
        <f t="shared" si="18"/>
        <v>1178.1000000000004</v>
      </c>
      <c r="K98" s="307"/>
      <c r="L98" s="410">
        <f>IF(OR(Калькуляция!$F98=3,),3,0)</f>
        <v>0</v>
      </c>
      <c r="M98" s="410">
        <f>IF(OR(Калькуляция!$F98=6,),6,0)</f>
        <v>0</v>
      </c>
      <c r="N98" s="410">
        <f>IF(OR(Калькуляция!$F98=9,),9,0)</f>
        <v>0</v>
      </c>
      <c r="O98" s="410">
        <f>IF(OR(Калькуляция!$F98=3,Калькуляция!$F98=6,Калькуляция!$F98=9,),369,0)</f>
        <v>0</v>
      </c>
      <c r="P98" s="149">
        <f t="shared" si="19"/>
        <v>0</v>
      </c>
      <c r="Q98" s="68">
        <f t="shared" si="20"/>
        <v>0</v>
      </c>
    </row>
    <row r="99" spans="1:17" s="29" customFormat="1" ht="12.75">
      <c r="A99" s="321">
        <f t="shared" si="15"/>
        <v>81</v>
      </c>
      <c r="B99" s="58" t="s">
        <v>161</v>
      </c>
      <c r="C99" s="145"/>
      <c r="D99" s="58" t="s">
        <v>27</v>
      </c>
      <c r="E99" s="146">
        <v>14.5</v>
      </c>
      <c r="F99" s="147">
        <v>10</v>
      </c>
      <c r="G99" s="148">
        <v>0</v>
      </c>
      <c r="H99" s="138">
        <f t="shared" si="16"/>
        <v>17.591911764705884</v>
      </c>
      <c r="I99" s="71">
        <f t="shared" si="17"/>
        <v>15.950000000000001</v>
      </c>
      <c r="J99" s="62">
        <f t="shared" si="18"/>
        <v>1220.175</v>
      </c>
      <c r="K99" s="307"/>
      <c r="L99" s="410">
        <f>IF(OR(Калькуляция!$F99=3,),3,0)</f>
        <v>0</v>
      </c>
      <c r="M99" s="410">
        <f>IF(OR(Калькуляция!$F99=6,),6,0)</f>
        <v>0</v>
      </c>
      <c r="N99" s="410">
        <f>IF(OR(Калькуляция!$F99=9,),9,0)</f>
        <v>0</v>
      </c>
      <c r="O99" s="410">
        <f>IF(OR(Калькуляция!$F99=3,Калькуляция!$F99=6,Калькуляция!$F99=9,),369,0)</f>
        <v>0</v>
      </c>
      <c r="P99" s="149">
        <f t="shared" si="19"/>
        <v>0</v>
      </c>
      <c r="Q99" s="68">
        <f t="shared" si="20"/>
        <v>0</v>
      </c>
    </row>
    <row r="100" spans="1:17" s="30" customFormat="1" ht="12.75">
      <c r="A100" s="321">
        <f t="shared" si="15"/>
        <v>82</v>
      </c>
      <c r="B100" s="59" t="s">
        <v>28</v>
      </c>
      <c r="C100" s="150" t="s">
        <v>162</v>
      </c>
      <c r="D100" s="59" t="s">
        <v>27</v>
      </c>
      <c r="E100" s="151">
        <v>50</v>
      </c>
      <c r="F100" s="152">
        <v>2</v>
      </c>
      <c r="G100" s="153">
        <v>0</v>
      </c>
      <c r="H100" s="138">
        <f t="shared" si="16"/>
        <v>60.66176470588236</v>
      </c>
      <c r="I100" s="71">
        <f t="shared" si="17"/>
        <v>55.00000000000001</v>
      </c>
      <c r="J100" s="62">
        <f t="shared" si="18"/>
        <v>4207.500000000001</v>
      </c>
      <c r="K100" s="307"/>
      <c r="L100" s="410">
        <f>IF(OR(Калькуляция!$F100=3,),3,0)</f>
        <v>0</v>
      </c>
      <c r="M100" s="410">
        <f>IF(OR(Калькуляция!$F100=6,),6,0)</f>
        <v>0</v>
      </c>
      <c r="N100" s="410">
        <f>IF(OR(Калькуляция!$F100=9,),9,0)</f>
        <v>0</v>
      </c>
      <c r="O100" s="410">
        <f>IF(OR(Калькуляция!$F100=3,Калькуляция!$F100=6,Калькуляция!$F100=9,),369,0)</f>
        <v>0</v>
      </c>
      <c r="P100" s="149">
        <f t="shared" si="19"/>
        <v>0</v>
      </c>
      <c r="Q100" s="68">
        <f t="shared" si="20"/>
        <v>0</v>
      </c>
    </row>
    <row r="101" spans="1:17" ht="12.75">
      <c r="A101" s="321">
        <f t="shared" si="15"/>
        <v>83</v>
      </c>
      <c r="B101" s="60" t="s">
        <v>163</v>
      </c>
      <c r="C101" s="181"/>
      <c r="D101" s="59" t="s">
        <v>36</v>
      </c>
      <c r="E101" s="154">
        <v>90</v>
      </c>
      <c r="F101" s="155">
        <v>3</v>
      </c>
      <c r="G101" s="156">
        <v>0</v>
      </c>
      <c r="H101" s="138">
        <f t="shared" si="16"/>
        <v>87.35294117647061</v>
      </c>
      <c r="I101" s="71">
        <f t="shared" si="17"/>
        <v>79.20000000000002</v>
      </c>
      <c r="J101" s="62">
        <f t="shared" si="18"/>
        <v>6058.800000000002</v>
      </c>
      <c r="K101" s="307"/>
      <c r="L101" s="410">
        <f>IF(OR(Калькуляция!$F101=3,),3,0)</f>
        <v>3</v>
      </c>
      <c r="M101" s="410">
        <f>IF(OR(Калькуляция!$F101=6,),6,0)</f>
        <v>0</v>
      </c>
      <c r="N101" s="410">
        <f>IF(OR(Калькуляция!$F101=9,),9,0)</f>
        <v>0</v>
      </c>
      <c r="O101" s="410">
        <f>IF(OR(Калькуляция!$F101=3,Калькуляция!$F101=6,Калькуляция!$F101=9,),369,0)</f>
        <v>369</v>
      </c>
      <c r="P101" s="149">
        <f t="shared" si="19"/>
        <v>0</v>
      </c>
      <c r="Q101" s="68">
        <f t="shared" si="20"/>
        <v>0</v>
      </c>
    </row>
    <row r="102" spans="1:17" s="30" customFormat="1" ht="12.75">
      <c r="A102" s="365">
        <f t="shared" si="15"/>
        <v>84</v>
      </c>
      <c r="B102" s="361" t="s">
        <v>241</v>
      </c>
      <c r="C102" s="362"/>
      <c r="D102" s="367" t="s">
        <v>27</v>
      </c>
      <c r="E102" s="151">
        <v>30</v>
      </c>
      <c r="F102" s="152">
        <v>2</v>
      </c>
      <c r="G102" s="153">
        <v>0</v>
      </c>
      <c r="H102" s="138">
        <f t="shared" si="16"/>
        <v>36.39705882352941</v>
      </c>
      <c r="I102" s="71">
        <f t="shared" si="17"/>
        <v>33</v>
      </c>
      <c r="J102" s="62">
        <f t="shared" si="18"/>
        <v>2524.5</v>
      </c>
      <c r="K102" s="307"/>
      <c r="L102" s="410">
        <f>IF(OR(Калькуляция!$F102=3,),3,0)</f>
        <v>0</v>
      </c>
      <c r="M102" s="410">
        <f>IF(OR(Калькуляция!$F102=6,),6,0)</f>
        <v>0</v>
      </c>
      <c r="N102" s="410">
        <f>IF(OR(Калькуляция!$F102=9,),9,0)</f>
        <v>0</v>
      </c>
      <c r="O102" s="410">
        <f>IF(OR(Калькуляция!$F102=3,Калькуляция!$F102=6,Калькуляция!$F102=9,),369,0)</f>
        <v>0</v>
      </c>
      <c r="P102" s="149">
        <f t="shared" si="19"/>
        <v>0</v>
      </c>
      <c r="Q102" s="68">
        <f t="shared" si="20"/>
        <v>0</v>
      </c>
    </row>
    <row r="103" spans="1:17" ht="12.75">
      <c r="A103" s="366">
        <f t="shared" si="15"/>
        <v>85</v>
      </c>
      <c r="B103" s="363" t="s">
        <v>242</v>
      </c>
      <c r="C103" s="364"/>
      <c r="D103" s="368" t="s">
        <v>36</v>
      </c>
      <c r="E103" s="154">
        <v>30</v>
      </c>
      <c r="F103" s="155">
        <v>3</v>
      </c>
      <c r="G103" s="156">
        <v>0</v>
      </c>
      <c r="H103" s="138">
        <f t="shared" si="16"/>
        <v>29.117647058823533</v>
      </c>
      <c r="I103" s="71">
        <f t="shared" si="17"/>
        <v>26.400000000000002</v>
      </c>
      <c r="J103" s="62">
        <f t="shared" si="18"/>
        <v>2019.6000000000004</v>
      </c>
      <c r="K103" s="307"/>
      <c r="L103" s="410">
        <f>IF(OR(Калькуляция!$F103=3,),3,0)</f>
        <v>3</v>
      </c>
      <c r="M103" s="410">
        <f>IF(OR(Калькуляция!$F103=6,),6,0)</f>
        <v>0</v>
      </c>
      <c r="N103" s="410">
        <f>IF(OR(Калькуляция!$F103=9,),9,0)</f>
        <v>0</v>
      </c>
      <c r="O103" s="410">
        <f>IF(OR(Калькуляция!$F103=3,Калькуляция!$F103=6,Калькуляция!$F103=9,),369,0)</f>
        <v>369</v>
      </c>
      <c r="P103" s="149">
        <f t="shared" si="19"/>
        <v>0</v>
      </c>
      <c r="Q103" s="68">
        <f t="shared" si="20"/>
        <v>0</v>
      </c>
    </row>
    <row r="104" spans="1:17" s="29" customFormat="1" ht="12.75">
      <c r="A104" s="358">
        <f t="shared" si="15"/>
        <v>86</v>
      </c>
      <c r="B104" s="198" t="s">
        <v>164</v>
      </c>
      <c r="C104" s="198" t="s">
        <v>289</v>
      </c>
      <c r="D104" s="190" t="s">
        <v>27</v>
      </c>
      <c r="E104" s="146">
        <v>115</v>
      </c>
      <c r="F104" s="147">
        <v>1</v>
      </c>
      <c r="G104" s="148">
        <v>0</v>
      </c>
      <c r="H104" s="138">
        <f t="shared" si="16"/>
        <v>139.52205882352945</v>
      </c>
      <c r="I104" s="71">
        <f t="shared" si="17"/>
        <v>126.50000000000001</v>
      </c>
      <c r="J104" s="62">
        <f t="shared" si="18"/>
        <v>9677.250000000002</v>
      </c>
      <c r="K104" s="307"/>
      <c r="L104" s="410">
        <f>IF(OR(Калькуляция!$F104=3,),3,0)</f>
        <v>0</v>
      </c>
      <c r="M104" s="410">
        <f>IF(OR(Калькуляция!$F104=6,),6,0)</f>
        <v>0</v>
      </c>
      <c r="N104" s="410">
        <f>IF(OR(Калькуляция!$F104=9,),9,0)</f>
        <v>0</v>
      </c>
      <c r="O104" s="410">
        <f>IF(OR(Калькуляция!$F104=3,Калькуляция!$F104=6,Калькуляция!$F104=9,),369,0)</f>
        <v>0</v>
      </c>
      <c r="P104" s="149">
        <f t="shared" si="19"/>
        <v>0</v>
      </c>
      <c r="Q104" s="68">
        <f t="shared" si="20"/>
        <v>0</v>
      </c>
    </row>
    <row r="105" spans="1:17" s="29" customFormat="1" ht="12.75">
      <c r="A105" s="357">
        <f t="shared" si="15"/>
        <v>87</v>
      </c>
      <c r="B105" s="198" t="s">
        <v>197</v>
      </c>
      <c r="C105" s="198" t="s">
        <v>366</v>
      </c>
      <c r="D105" s="359" t="s">
        <v>27</v>
      </c>
      <c r="E105" s="146">
        <v>110</v>
      </c>
      <c r="F105" s="147">
        <v>1</v>
      </c>
      <c r="G105" s="148">
        <v>0</v>
      </c>
      <c r="H105" s="138">
        <f t="shared" si="16"/>
        <v>133.4558823529412</v>
      </c>
      <c r="I105" s="71">
        <f t="shared" si="17"/>
        <v>121.00000000000001</v>
      </c>
      <c r="J105" s="62">
        <f t="shared" si="18"/>
        <v>9256.5</v>
      </c>
      <c r="K105" s="307"/>
      <c r="L105" s="410">
        <f>IF(OR(Калькуляция!$F105=3,),3,0)</f>
        <v>0</v>
      </c>
      <c r="M105" s="410">
        <f>IF(OR(Калькуляция!$F105=6,),6,0)</f>
        <v>0</v>
      </c>
      <c r="N105" s="410">
        <f>IF(OR(Калькуляция!$F105=9,),9,0)</f>
        <v>0</v>
      </c>
      <c r="O105" s="410">
        <f>IF(OR(Калькуляция!$F105=3,Калькуляция!$F105=6,Калькуляция!$F105=9,),369,0)</f>
        <v>0</v>
      </c>
      <c r="P105" s="149">
        <f t="shared" si="19"/>
        <v>0</v>
      </c>
      <c r="Q105" s="68">
        <f t="shared" si="20"/>
        <v>0</v>
      </c>
    </row>
    <row r="106" spans="1:17" s="29" customFormat="1" ht="12.75">
      <c r="A106" s="357">
        <f t="shared" si="15"/>
        <v>88</v>
      </c>
      <c r="B106" s="198" t="s">
        <v>408</v>
      </c>
      <c r="C106" s="198"/>
      <c r="D106" s="359" t="s">
        <v>27</v>
      </c>
      <c r="E106" s="146">
        <v>72</v>
      </c>
      <c r="F106" s="147">
        <v>1</v>
      </c>
      <c r="G106" s="148">
        <v>0</v>
      </c>
      <c r="H106" s="138">
        <f t="shared" si="16"/>
        <v>87.3529411764706</v>
      </c>
      <c r="I106" s="71">
        <f t="shared" si="17"/>
        <v>79.2</v>
      </c>
      <c r="J106" s="62">
        <f t="shared" si="18"/>
        <v>6058.8</v>
      </c>
      <c r="K106" s="307"/>
      <c r="L106" s="410">
        <f>IF(OR(Калькуляция!$F106=3,),3,0)</f>
        <v>0</v>
      </c>
      <c r="M106" s="410">
        <f>IF(OR(Калькуляция!$F106=6,),6,0)</f>
        <v>0</v>
      </c>
      <c r="N106" s="410">
        <f>IF(OR(Калькуляция!$F106=9,),9,0)</f>
        <v>0</v>
      </c>
      <c r="O106" s="410">
        <f>IF(OR(Калькуляция!$F106=3,Калькуляция!$F106=6,Калькуляция!$F106=9,),369,0)</f>
        <v>0</v>
      </c>
      <c r="P106" s="149">
        <f t="shared" si="19"/>
        <v>0</v>
      </c>
      <c r="Q106" s="68">
        <f t="shared" si="20"/>
        <v>0</v>
      </c>
    </row>
    <row r="107" spans="1:17" s="29" customFormat="1" ht="12.75">
      <c r="A107" s="357">
        <f t="shared" si="15"/>
        <v>89</v>
      </c>
      <c r="B107" s="356" t="s">
        <v>28</v>
      </c>
      <c r="C107" s="356" t="s">
        <v>165</v>
      </c>
      <c r="D107" s="359" t="s">
        <v>27</v>
      </c>
      <c r="E107" s="151">
        <v>40</v>
      </c>
      <c r="F107" s="152">
        <v>2</v>
      </c>
      <c r="G107" s="153">
        <v>0</v>
      </c>
      <c r="H107" s="138">
        <f t="shared" si="16"/>
        <v>48.529411764705884</v>
      </c>
      <c r="I107" s="71">
        <f t="shared" si="17"/>
        <v>44</v>
      </c>
      <c r="J107" s="62">
        <f t="shared" si="18"/>
        <v>3366</v>
      </c>
      <c r="K107" s="307"/>
      <c r="L107" s="410">
        <f>IF(OR(Калькуляция!$F107=3,),3,0)</f>
        <v>0</v>
      </c>
      <c r="M107" s="410">
        <f>IF(OR(Калькуляция!$F107=6,),6,0)</f>
        <v>0</v>
      </c>
      <c r="N107" s="410">
        <f>IF(OR(Калькуляция!$F107=9,),9,0)</f>
        <v>0</v>
      </c>
      <c r="O107" s="410">
        <f>IF(OR(Калькуляция!$F107=3,Калькуляция!$F107=6,Калькуляция!$F107=9,),369,0)</f>
        <v>0</v>
      </c>
      <c r="P107" s="149">
        <f t="shared" si="19"/>
        <v>0</v>
      </c>
      <c r="Q107" s="68">
        <f t="shared" si="20"/>
        <v>0</v>
      </c>
    </row>
    <row r="108" spans="1:17" ht="12.75">
      <c r="A108" s="357">
        <f t="shared" si="15"/>
        <v>90</v>
      </c>
      <c r="B108" s="355" t="s">
        <v>440</v>
      </c>
      <c r="C108" s="355"/>
      <c r="D108" s="360" t="s">
        <v>36</v>
      </c>
      <c r="E108" s="151">
        <v>30</v>
      </c>
      <c r="F108" s="157">
        <v>3</v>
      </c>
      <c r="G108" s="153">
        <v>0</v>
      </c>
      <c r="H108" s="138">
        <f>I108/$L$358</f>
        <v>29.117647058823533</v>
      </c>
      <c r="I108" s="71">
        <f>$J$7*(E108+PRODUCT(G108,$L$358))*IF(OR(F108=1,F108=10),(100-$D$15)/100,IF(OR(F108=3,F108=6,F108=9),(100-$D$16)/100,IF(OR(F108=2,F108=4),(100-$D$17)/100,1)))</f>
        <v>26.400000000000002</v>
      </c>
      <c r="J108" s="62">
        <f>PRODUCT(I108,1/$L$358,$L$357,1.02)</f>
        <v>2019.6000000000004</v>
      </c>
      <c r="K108" s="307"/>
      <c r="L108" s="410">
        <f>IF(OR(Калькуляция!$F108=3,),3,0)</f>
        <v>3</v>
      </c>
      <c r="M108" s="410">
        <f>IF(OR(Калькуляция!$F108=6,),6,0)</f>
        <v>0</v>
      </c>
      <c r="N108" s="410">
        <f>IF(OR(Калькуляция!$F108=9,),9,0)</f>
        <v>0</v>
      </c>
      <c r="O108" s="410">
        <f>IF(OR(Калькуляция!$F108=3,Калькуляция!$F108=6,Калькуляция!$F108=9,),369,0)</f>
        <v>369</v>
      </c>
      <c r="P108" s="149">
        <f>I108*K108</f>
        <v>0</v>
      </c>
      <c r="Q108" s="68">
        <f>J108*K108</f>
        <v>0</v>
      </c>
    </row>
    <row r="109" spans="1:17" ht="12.75">
      <c r="A109" s="440">
        <f t="shared" si="15"/>
        <v>91</v>
      </c>
      <c r="B109" s="441" t="s">
        <v>436</v>
      </c>
      <c r="C109" s="442"/>
      <c r="D109" s="443" t="s">
        <v>36</v>
      </c>
      <c r="E109" s="151">
        <v>30</v>
      </c>
      <c r="F109" s="157">
        <v>3</v>
      </c>
      <c r="G109" s="153">
        <v>0</v>
      </c>
      <c r="H109" s="138">
        <f t="shared" si="16"/>
        <v>29.117647058823533</v>
      </c>
      <c r="I109" s="71">
        <f t="shared" si="17"/>
        <v>26.400000000000002</v>
      </c>
      <c r="J109" s="62">
        <f>PRODUCT(I109,1/$L$358,$L$357,1.02)*0.5</f>
        <v>1009.8000000000002</v>
      </c>
      <c r="K109" s="307"/>
      <c r="L109" s="410">
        <f>IF(OR(Калькуляция!$F109=3,),3,0)</f>
        <v>3</v>
      </c>
      <c r="M109" s="410">
        <f>IF(OR(Калькуляция!$F109=6,),6,0)</f>
        <v>0</v>
      </c>
      <c r="N109" s="410">
        <f>IF(OR(Калькуляция!$F109=9,),9,0)</f>
        <v>0</v>
      </c>
      <c r="O109" s="410">
        <f>IF(OR(Калькуляция!$F109=3,Калькуляция!$F109=6,Калькуляция!$F109=9,),369,0)</f>
        <v>369</v>
      </c>
      <c r="P109" s="149">
        <f t="shared" si="19"/>
        <v>0</v>
      </c>
      <c r="Q109" s="68">
        <f t="shared" si="20"/>
        <v>0</v>
      </c>
    </row>
    <row r="110" spans="1:17" s="30" customFormat="1" ht="12.75">
      <c r="A110" s="335">
        <f>ROW()-18</f>
        <v>92</v>
      </c>
      <c r="B110" s="57" t="s">
        <v>403</v>
      </c>
      <c r="C110" s="140"/>
      <c r="D110" s="57" t="s">
        <v>30</v>
      </c>
      <c r="E110" s="141">
        <v>45</v>
      </c>
      <c r="F110" s="142">
        <v>2</v>
      </c>
      <c r="G110" s="143">
        <v>0</v>
      </c>
      <c r="H110" s="138">
        <f t="shared" si="16"/>
        <v>54.59558823529413</v>
      </c>
      <c r="I110" s="71">
        <f t="shared" si="17"/>
        <v>49.50000000000001</v>
      </c>
      <c r="J110" s="62">
        <f t="shared" si="18"/>
        <v>3786.750000000001</v>
      </c>
      <c r="K110" s="307"/>
      <c r="L110" s="410">
        <f>IF(OR(Калькуляция!$F110=3,),3,0)</f>
        <v>0</v>
      </c>
      <c r="M110" s="410">
        <f>IF(OR(Калькуляция!$F110=6,),6,0)</f>
        <v>0</v>
      </c>
      <c r="N110" s="410">
        <f>IF(OR(Калькуляция!$F110=9,),9,0)</f>
        <v>0</v>
      </c>
      <c r="O110" s="410">
        <f>IF(OR(Калькуляция!$F110=3,Калькуляция!$F110=6,Калькуляция!$F110=9,),369,0)</f>
        <v>0</v>
      </c>
      <c r="P110" s="139">
        <f t="shared" si="19"/>
        <v>0</v>
      </c>
      <c r="Q110" s="68">
        <f t="shared" si="20"/>
        <v>0</v>
      </c>
    </row>
    <row r="111" spans="1:17" s="30" customFormat="1" ht="24" customHeight="1">
      <c r="A111" s="335">
        <f>ROW()-18</f>
        <v>93</v>
      </c>
      <c r="B111" s="462" t="s">
        <v>410</v>
      </c>
      <c r="C111" s="463"/>
      <c r="D111" s="57" t="s">
        <v>36</v>
      </c>
      <c r="E111" s="141">
        <v>20</v>
      </c>
      <c r="F111" s="142">
        <v>9</v>
      </c>
      <c r="G111" s="143">
        <v>0</v>
      </c>
      <c r="H111" s="138">
        <f t="shared" si="16"/>
        <v>19.411764705882355</v>
      </c>
      <c r="I111" s="71">
        <f t="shared" si="17"/>
        <v>17.6</v>
      </c>
      <c r="J111" s="62">
        <f t="shared" si="18"/>
        <v>1346.4000000000003</v>
      </c>
      <c r="K111" s="307"/>
      <c r="L111" s="410">
        <f>IF(OR(Калькуляция!$F111=3,),3,0)</f>
        <v>0</v>
      </c>
      <c r="M111" s="410">
        <f>IF(OR(Калькуляция!$F111=6,),6,0)</f>
        <v>0</v>
      </c>
      <c r="N111" s="410">
        <f>IF(OR(Калькуляция!$F111=9,),9,0)</f>
        <v>9</v>
      </c>
      <c r="O111" s="410">
        <f>IF(OR(Калькуляция!$F111=3,Калькуляция!$F111=6,Калькуляция!$F111=9,),369,0)</f>
        <v>369</v>
      </c>
      <c r="P111" s="144">
        <f t="shared" si="19"/>
        <v>0</v>
      </c>
      <c r="Q111" s="68">
        <f t="shared" si="20"/>
        <v>0</v>
      </c>
    </row>
    <row r="112" spans="1:17" s="30" customFormat="1" ht="12.75">
      <c r="A112" s="335">
        <f>ROW()-18</f>
        <v>94</v>
      </c>
      <c r="B112" s="389" t="s">
        <v>411</v>
      </c>
      <c r="C112" s="140"/>
      <c r="D112" s="57" t="s">
        <v>36</v>
      </c>
      <c r="E112" s="141">
        <v>20</v>
      </c>
      <c r="F112" s="142">
        <v>6</v>
      </c>
      <c r="G112" s="143">
        <v>0</v>
      </c>
      <c r="H112" s="138">
        <f t="shared" si="16"/>
        <v>19.411764705882355</v>
      </c>
      <c r="I112" s="71">
        <f t="shared" si="17"/>
        <v>17.6</v>
      </c>
      <c r="J112" s="62">
        <f t="shared" si="18"/>
        <v>1346.4000000000003</v>
      </c>
      <c r="K112" s="307"/>
      <c r="L112" s="410">
        <f>IF(OR(Калькуляция!$F112=3,),3,0)</f>
        <v>0</v>
      </c>
      <c r="M112" s="410">
        <f>IF(OR(Калькуляция!$F112=6,),6,0)</f>
        <v>6</v>
      </c>
      <c r="N112" s="410">
        <f>IF(OR(Калькуляция!$F112=9,),9,0)</f>
        <v>0</v>
      </c>
      <c r="O112" s="410">
        <f>IF(OR(Калькуляция!$F112=3,Калькуляция!$F112=6,Калькуляция!$F112=9,),369,0)</f>
        <v>369</v>
      </c>
      <c r="P112" s="144">
        <f t="shared" si="19"/>
        <v>0</v>
      </c>
      <c r="Q112" s="68">
        <f t="shared" si="20"/>
        <v>0</v>
      </c>
    </row>
    <row r="113" spans="1:17" s="29" customFormat="1" ht="12.75">
      <c r="A113" s="357">
        <f t="shared" si="15"/>
        <v>95</v>
      </c>
      <c r="B113" s="198" t="s">
        <v>195</v>
      </c>
      <c r="C113" s="198" t="s">
        <v>196</v>
      </c>
      <c r="D113" s="359" t="s">
        <v>27</v>
      </c>
      <c r="E113" s="146">
        <v>150</v>
      </c>
      <c r="F113" s="147">
        <v>1</v>
      </c>
      <c r="G113" s="148">
        <v>0</v>
      </c>
      <c r="H113" s="138">
        <f t="shared" si="16"/>
        <v>181.98529411764707</v>
      </c>
      <c r="I113" s="71">
        <f t="shared" si="17"/>
        <v>165</v>
      </c>
      <c r="J113" s="62">
        <f t="shared" si="18"/>
        <v>12622.5</v>
      </c>
      <c r="K113" s="307"/>
      <c r="L113" s="410">
        <f>IF(OR(Калькуляция!$F113=3,),3,0)</f>
        <v>0</v>
      </c>
      <c r="M113" s="410">
        <f>IF(OR(Калькуляция!$F113=6,),6,0)</f>
        <v>0</v>
      </c>
      <c r="N113" s="410">
        <f>IF(OR(Калькуляция!$F113=9,),9,0)</f>
        <v>0</v>
      </c>
      <c r="O113" s="410">
        <f>IF(OR(Калькуляция!$F113=3,Калькуляция!$F113=6,Калькуляция!$F113=9,),369,0)</f>
        <v>0</v>
      </c>
      <c r="P113" s="149">
        <f t="shared" si="19"/>
        <v>0</v>
      </c>
      <c r="Q113" s="68">
        <f t="shared" si="20"/>
        <v>0</v>
      </c>
    </row>
    <row r="114" spans="1:17" s="29" customFormat="1" ht="12.75">
      <c r="A114" s="357">
        <f t="shared" si="15"/>
        <v>96</v>
      </c>
      <c r="B114" s="356" t="s">
        <v>28</v>
      </c>
      <c r="C114" s="356" t="s">
        <v>194</v>
      </c>
      <c r="D114" s="359" t="s">
        <v>27</v>
      </c>
      <c r="E114" s="151">
        <v>50</v>
      </c>
      <c r="F114" s="152">
        <v>2</v>
      </c>
      <c r="G114" s="153">
        <v>0</v>
      </c>
      <c r="H114" s="138">
        <f t="shared" si="16"/>
        <v>60.66176470588236</v>
      </c>
      <c r="I114" s="71">
        <f t="shared" si="17"/>
        <v>55.00000000000001</v>
      </c>
      <c r="J114" s="62">
        <f t="shared" si="18"/>
        <v>4207.500000000001</v>
      </c>
      <c r="K114" s="307"/>
      <c r="L114" s="410">
        <f>IF(OR(Калькуляция!$F114=3,),3,0)</f>
        <v>0</v>
      </c>
      <c r="M114" s="410">
        <f>IF(OR(Калькуляция!$F114=6,),6,0)</f>
        <v>0</v>
      </c>
      <c r="N114" s="410">
        <f>IF(OR(Калькуляция!$F114=9,),9,0)</f>
        <v>0</v>
      </c>
      <c r="O114" s="410">
        <f>IF(OR(Калькуляция!$F114=3,Калькуляция!$F114=6,Калькуляция!$F114=9,),369,0)</f>
        <v>0</v>
      </c>
      <c r="P114" s="149">
        <f t="shared" si="19"/>
        <v>0</v>
      </c>
      <c r="Q114" s="68">
        <f t="shared" si="20"/>
        <v>0</v>
      </c>
    </row>
    <row r="115" spans="1:17" ht="12.75">
      <c r="A115" s="357">
        <f t="shared" si="15"/>
        <v>97</v>
      </c>
      <c r="B115" s="61" t="s">
        <v>412</v>
      </c>
      <c r="C115" s="61"/>
      <c r="D115" s="360" t="s">
        <v>36</v>
      </c>
      <c r="E115" s="151">
        <v>40</v>
      </c>
      <c r="F115" s="157">
        <v>3</v>
      </c>
      <c r="G115" s="153">
        <v>0</v>
      </c>
      <c r="H115" s="138">
        <f t="shared" si="16"/>
        <v>38.82352941176471</v>
      </c>
      <c r="I115" s="71">
        <f t="shared" si="17"/>
        <v>35.2</v>
      </c>
      <c r="J115" s="347">
        <f t="shared" si="18"/>
        <v>2692.8000000000006</v>
      </c>
      <c r="K115" s="307"/>
      <c r="L115" s="410">
        <f>IF(OR(Калькуляция!$F115=3,),3,0)</f>
        <v>3</v>
      </c>
      <c r="M115" s="410">
        <f>IF(OR(Калькуляция!$F115=6,),6,0)</f>
        <v>0</v>
      </c>
      <c r="N115" s="410">
        <f>IF(OR(Калькуляция!$F115=9,),9,0)</f>
        <v>0</v>
      </c>
      <c r="O115" s="410">
        <f>IF(OR(Калькуляция!$F115=3,Калькуляция!$F115=6,Калькуляция!$F115=9,),369,0)</f>
        <v>369</v>
      </c>
      <c r="P115" s="149">
        <f t="shared" si="19"/>
        <v>0</v>
      </c>
      <c r="Q115" s="68">
        <f t="shared" si="20"/>
        <v>0</v>
      </c>
    </row>
    <row r="116" spans="1:17" ht="33" customHeight="1">
      <c r="A116" s="479" t="s">
        <v>371</v>
      </c>
      <c r="B116" s="480"/>
      <c r="C116" s="480"/>
      <c r="D116" s="480"/>
      <c r="E116" s="480"/>
      <c r="F116" s="480"/>
      <c r="G116" s="480"/>
      <c r="H116" s="480"/>
      <c r="I116" s="480"/>
      <c r="J116" s="480"/>
      <c r="K116" s="376" t="str">
        <f>IF(Q116=0," ","Итого по разделу:")</f>
        <v> </v>
      </c>
      <c r="L116" s="410">
        <f>IF(OR(Калькуляция!$F116=3,),3,0)</f>
        <v>0</v>
      </c>
      <c r="M116" s="410">
        <f>IF(OR(Калькуляция!$F116=6,),6,0)</f>
        <v>0</v>
      </c>
      <c r="N116" s="410">
        <f>IF(OR(Калькуляция!$F116=9,),9,0)</f>
        <v>0</v>
      </c>
      <c r="O116" s="410">
        <f>IF(OR(Калькуляция!$F116=3,Калькуляция!$F116=6,Калькуляция!$F116=9,),369,0)</f>
        <v>0</v>
      </c>
      <c r="P116" s="311"/>
      <c r="Q116" s="310">
        <f>SUM(Q86:Q115)</f>
        <v>0</v>
      </c>
    </row>
    <row r="117" spans="1:17" ht="24" customHeight="1">
      <c r="A117" s="486" t="s">
        <v>372</v>
      </c>
      <c r="B117" s="487"/>
      <c r="C117" s="487"/>
      <c r="D117" s="487"/>
      <c r="E117" s="487"/>
      <c r="F117" s="487"/>
      <c r="G117" s="487"/>
      <c r="H117" s="487"/>
      <c r="I117" s="487"/>
      <c r="J117" s="487"/>
      <c r="K117" s="377" t="str">
        <f>IF(Q117=0," ",".")</f>
        <v> </v>
      </c>
      <c r="L117" s="410">
        <f>IF(OR(Калькуляция!$F117=3,),3,0)</f>
        <v>0</v>
      </c>
      <c r="M117" s="410">
        <f>IF(OR(Калькуляция!$F117=6,),6,0)</f>
        <v>0</v>
      </c>
      <c r="N117" s="410">
        <f>IF(OR(Калькуляция!$F117=9,),9,0)</f>
        <v>0</v>
      </c>
      <c r="O117" s="410">
        <f>IF(OR(Калькуляция!$F117=3,Калькуляция!$F117=6,Калькуляция!$F117=9,),369,0)</f>
        <v>0</v>
      </c>
      <c r="P117" s="311"/>
      <c r="Q117" s="371">
        <f>IF(SUM(Q92:Q93)=0,0,".")</f>
        <v>0</v>
      </c>
    </row>
    <row r="118" spans="1:17" ht="24.75" customHeight="1">
      <c r="A118" s="486" t="s">
        <v>374</v>
      </c>
      <c r="B118" s="487"/>
      <c r="C118" s="487"/>
      <c r="D118" s="487"/>
      <c r="E118" s="487"/>
      <c r="F118" s="487"/>
      <c r="G118" s="487"/>
      <c r="H118" s="487"/>
      <c r="I118" s="487"/>
      <c r="J118" s="487"/>
      <c r="K118" s="377" t="str">
        <f>IF(Q118=0," ",".")</f>
        <v> </v>
      </c>
      <c r="L118" s="410">
        <f>IF(OR(Калькуляция!$F118=3,),3,0)</f>
        <v>0</v>
      </c>
      <c r="M118" s="410">
        <f>IF(OR(Калькуляция!$F118=6,),6,0)</f>
        <v>0</v>
      </c>
      <c r="N118" s="410">
        <f>IF(OR(Калькуляция!$F118=9,),9,0)</f>
        <v>0</v>
      </c>
      <c r="O118" s="410">
        <f>IF(OR(Калькуляция!$F118=3,Калькуляция!$F118=6,Калькуляция!$F118=9,),369,0)</f>
        <v>0</v>
      </c>
      <c r="P118" s="372"/>
      <c r="Q118" s="371">
        <f>IF(SUM(Q95:Q96)=0,0,".")</f>
        <v>0</v>
      </c>
    </row>
    <row r="119" spans="1:17" ht="33.75" customHeight="1">
      <c r="A119" s="486" t="s">
        <v>362</v>
      </c>
      <c r="B119" s="487"/>
      <c r="C119" s="487"/>
      <c r="D119" s="487"/>
      <c r="E119" s="487"/>
      <c r="F119" s="487"/>
      <c r="G119" s="487"/>
      <c r="H119" s="487"/>
      <c r="I119" s="487"/>
      <c r="J119" s="487"/>
      <c r="K119" s="377" t="str">
        <f>IF(Q119=0," ",".")</f>
        <v> </v>
      </c>
      <c r="L119" s="410">
        <f>IF(OR(Калькуляция!$F119=3,),3,0)</f>
        <v>0</v>
      </c>
      <c r="M119" s="410">
        <f>IF(OR(Калькуляция!$F119=6,),6,0)</f>
        <v>0</v>
      </c>
      <c r="N119" s="410">
        <f>IF(OR(Калькуляция!$F119=9,),9,0)</f>
        <v>0</v>
      </c>
      <c r="O119" s="410">
        <f>IF(OR(Калькуляция!$F119=3,Калькуляция!$F119=6,Калькуляция!$F119=9,),369,0)</f>
        <v>0</v>
      </c>
      <c r="P119" s="372"/>
      <c r="Q119" s="373">
        <f>IF(SUM(Q104:Q104)=0,0,".")</f>
        <v>0</v>
      </c>
    </row>
    <row r="120" spans="1:17" ht="24" customHeight="1">
      <c r="A120" s="477" t="s">
        <v>373</v>
      </c>
      <c r="B120" s="475"/>
      <c r="C120" s="475"/>
      <c r="D120" s="475"/>
      <c r="E120" s="475"/>
      <c r="F120" s="475"/>
      <c r="G120" s="475"/>
      <c r="H120" s="475"/>
      <c r="I120" s="475"/>
      <c r="J120" s="475"/>
      <c r="K120" s="378" t="str">
        <f>IF(Q120=0," ",".")</f>
        <v> </v>
      </c>
      <c r="L120" s="410">
        <f>IF(OR(Калькуляция!$F120=3,),3,0)</f>
        <v>0</v>
      </c>
      <c r="M120" s="410">
        <f>IF(OR(Калькуляция!$F120=6,),6,0)</f>
        <v>0</v>
      </c>
      <c r="N120" s="410">
        <f>IF(OR(Калькуляция!$F120=9,),9,0)</f>
        <v>0</v>
      </c>
      <c r="O120" s="410">
        <f>IF(OR(Калькуляция!$F120=3,Калькуляция!$F120=6,Калькуляция!$F120=9,),369,0)</f>
        <v>0</v>
      </c>
      <c r="P120" s="372"/>
      <c r="Q120" s="373">
        <f>IF(SUM(Q113:Q113)=0,0,".")</f>
        <v>0</v>
      </c>
    </row>
    <row r="121" spans="1:17" s="29" customFormat="1" ht="18.75" customHeight="1">
      <c r="A121" s="498" t="s">
        <v>2</v>
      </c>
      <c r="B121" s="499"/>
      <c r="C121" s="499"/>
      <c r="D121" s="499"/>
      <c r="E121" s="499"/>
      <c r="F121" s="499"/>
      <c r="G121" s="499"/>
      <c r="H121" s="499"/>
      <c r="I121" s="499"/>
      <c r="J121" s="499"/>
      <c r="K121" s="375" t="str">
        <f>IF(Q144=0," ","(Разд.03)")</f>
        <v> </v>
      </c>
      <c r="L121" s="410">
        <f>IF(OR(Калькуляция!$F121=3,),3,0)</f>
        <v>0</v>
      </c>
      <c r="M121" s="410">
        <f>IF(OR(Калькуляция!$F121=6,),6,0)</f>
        <v>0</v>
      </c>
      <c r="N121" s="410">
        <f>IF(OR(Калькуляция!$F121=9,),9,0)</f>
        <v>0</v>
      </c>
      <c r="O121" s="410">
        <f>IF(OR(Калькуляция!$F121=3,Калькуляция!$F121=6,Калькуляция!$F121=9,),369,0)</f>
        <v>0</v>
      </c>
      <c r="P121" s="308"/>
      <c r="Q121" s="343"/>
    </row>
    <row r="122" spans="1:17" s="29" customFormat="1" ht="12.75">
      <c r="A122" s="325">
        <f aca="true" t="shared" si="21" ref="A122:A143">ROW()-18</f>
        <v>104</v>
      </c>
      <c r="B122" s="50" t="s">
        <v>154</v>
      </c>
      <c r="C122" s="412" t="s">
        <v>269</v>
      </c>
      <c r="D122" s="50" t="s">
        <v>27</v>
      </c>
      <c r="E122" s="118">
        <v>149</v>
      </c>
      <c r="F122" s="65">
        <v>10</v>
      </c>
      <c r="G122" s="66">
        <v>0</v>
      </c>
      <c r="H122" s="138">
        <f aca="true" t="shared" si="22" ref="H122:H143">I122/$L$358</f>
        <v>180.77205882352942</v>
      </c>
      <c r="I122" s="71">
        <f aca="true" t="shared" si="23" ref="I122:I143">$J$7*(E122+PRODUCT(G122,$L$358))*IF(OR(F122=1,F122=10),(100-$D$15)/100,IF(OR(F122=3,F122=6,F122=9),(100-$D$16)/100,IF(OR(F122=2,F122=4),(100-$D$17)/100,1)))</f>
        <v>163.9</v>
      </c>
      <c r="J122" s="186">
        <f aca="true" t="shared" si="24" ref="J122:J143">PRODUCT(I122,1/$L$358,$L$357,1.02)</f>
        <v>12538.35</v>
      </c>
      <c r="K122" s="307"/>
      <c r="L122" s="410">
        <f>IF(OR(Калькуляция!$F122=3,),3,0)</f>
        <v>0</v>
      </c>
      <c r="M122" s="410">
        <f>IF(OR(Калькуляция!$F122=6,),6,0)</f>
        <v>0</v>
      </c>
      <c r="N122" s="410">
        <f>IF(OR(Калькуляция!$F122=9,),9,0)</f>
        <v>0</v>
      </c>
      <c r="O122" s="410">
        <f>IF(OR(Калькуляция!$F122=3,Калькуляция!$F122=6,Калькуляция!$F122=9,),369,0)</f>
        <v>0</v>
      </c>
      <c r="P122" s="204">
        <f aca="true" t="shared" si="25" ref="P122:P143">I122*K122</f>
        <v>0</v>
      </c>
      <c r="Q122" s="68">
        <f aca="true" t="shared" si="26" ref="Q122:Q143">J122*K122</f>
        <v>0</v>
      </c>
    </row>
    <row r="123" spans="1:17" s="29" customFormat="1" ht="12.75">
      <c r="A123" s="325">
        <f t="shared" si="21"/>
        <v>105</v>
      </c>
      <c r="B123" s="50" t="s">
        <v>154</v>
      </c>
      <c r="C123" s="412" t="s">
        <v>270</v>
      </c>
      <c r="D123" s="50" t="s">
        <v>27</v>
      </c>
      <c r="E123" s="118">
        <v>170</v>
      </c>
      <c r="F123" s="65">
        <v>10</v>
      </c>
      <c r="G123" s="66">
        <v>0</v>
      </c>
      <c r="H123" s="138">
        <f t="shared" si="22"/>
        <v>206.25000000000003</v>
      </c>
      <c r="I123" s="71">
        <f t="shared" si="23"/>
        <v>187.00000000000003</v>
      </c>
      <c r="J123" s="62">
        <f t="shared" si="24"/>
        <v>14305.500000000004</v>
      </c>
      <c r="K123" s="307"/>
      <c r="L123" s="410">
        <f>IF(OR(Калькуляция!$F123=3,),3,0)</f>
        <v>0</v>
      </c>
      <c r="M123" s="410">
        <f>IF(OR(Калькуляция!$F123=6,),6,0)</f>
        <v>0</v>
      </c>
      <c r="N123" s="410">
        <f>IF(OR(Калькуляция!$F123=9,),9,0)</f>
        <v>0</v>
      </c>
      <c r="O123" s="410">
        <f>IF(OR(Калькуляция!$F123=3,Калькуляция!$F123=6,Калькуляция!$F123=9,),369,0)</f>
        <v>0</v>
      </c>
      <c r="P123" s="139">
        <f t="shared" si="25"/>
        <v>0</v>
      </c>
      <c r="Q123" s="68">
        <f t="shared" si="26"/>
        <v>0</v>
      </c>
    </row>
    <row r="124" spans="1:17" s="29" customFormat="1" ht="12.75">
      <c r="A124" s="325">
        <f t="shared" si="21"/>
        <v>106</v>
      </c>
      <c r="B124" s="50" t="s">
        <v>155</v>
      </c>
      <c r="C124" s="412" t="s">
        <v>271</v>
      </c>
      <c r="D124" s="50" t="s">
        <v>27</v>
      </c>
      <c r="E124" s="118">
        <v>350</v>
      </c>
      <c r="F124" s="65">
        <v>10</v>
      </c>
      <c r="G124" s="66">
        <v>0</v>
      </c>
      <c r="H124" s="138">
        <f t="shared" si="22"/>
        <v>424.6323529411766</v>
      </c>
      <c r="I124" s="71">
        <f t="shared" si="23"/>
        <v>385.00000000000006</v>
      </c>
      <c r="J124" s="62">
        <f t="shared" si="24"/>
        <v>29452.500000000007</v>
      </c>
      <c r="K124" s="307"/>
      <c r="L124" s="410">
        <f>IF(OR(Калькуляция!$F124=3,),3,0)</f>
        <v>0</v>
      </c>
      <c r="M124" s="410">
        <f>IF(OR(Калькуляция!$F124=6,),6,0)</f>
        <v>0</v>
      </c>
      <c r="N124" s="410">
        <f>IF(OR(Калькуляция!$F124=9,),9,0)</f>
        <v>0</v>
      </c>
      <c r="O124" s="410">
        <f>IF(OR(Калькуляция!$F124=3,Калькуляция!$F124=6,Калькуляция!$F124=9,),369,0)</f>
        <v>0</v>
      </c>
      <c r="P124" s="139">
        <f t="shared" si="25"/>
        <v>0</v>
      </c>
      <c r="Q124" s="68">
        <f t="shared" si="26"/>
        <v>0</v>
      </c>
    </row>
    <row r="125" spans="1:17" s="29" customFormat="1" ht="12.75">
      <c r="A125" s="325">
        <f t="shared" si="21"/>
        <v>107</v>
      </c>
      <c r="B125" s="50" t="s">
        <v>154</v>
      </c>
      <c r="C125" s="412" t="s">
        <v>272</v>
      </c>
      <c r="D125" s="50" t="s">
        <v>27</v>
      </c>
      <c r="E125" s="118">
        <v>406</v>
      </c>
      <c r="F125" s="65">
        <v>10</v>
      </c>
      <c r="G125" s="66">
        <v>0</v>
      </c>
      <c r="H125" s="138">
        <f t="shared" si="22"/>
        <v>492.57352941176475</v>
      </c>
      <c r="I125" s="71">
        <f t="shared" si="23"/>
        <v>446.6</v>
      </c>
      <c r="J125" s="62">
        <f t="shared" si="24"/>
        <v>34164.9</v>
      </c>
      <c r="K125" s="307"/>
      <c r="L125" s="410">
        <f>IF(OR(Калькуляция!$F125=3,),3,0)</f>
        <v>0</v>
      </c>
      <c r="M125" s="410">
        <f>IF(OR(Калькуляция!$F125=6,),6,0)</f>
        <v>0</v>
      </c>
      <c r="N125" s="410">
        <f>IF(OR(Калькуляция!$F125=9,),9,0)</f>
        <v>0</v>
      </c>
      <c r="O125" s="410">
        <f>IF(OR(Калькуляция!$F125=3,Калькуляция!$F125=6,Калькуляция!$F125=9,),369,0)</f>
        <v>0</v>
      </c>
      <c r="P125" s="139">
        <f t="shared" si="25"/>
        <v>0</v>
      </c>
      <c r="Q125" s="68">
        <f t="shared" si="26"/>
        <v>0</v>
      </c>
    </row>
    <row r="126" spans="1:17" s="29" customFormat="1" ht="12.75">
      <c r="A126" s="325">
        <f t="shared" si="21"/>
        <v>108</v>
      </c>
      <c r="B126" s="50" t="s">
        <v>154</v>
      </c>
      <c r="C126" s="292" t="s">
        <v>363</v>
      </c>
      <c r="D126" s="50" t="s">
        <v>27</v>
      </c>
      <c r="E126" s="118">
        <v>2750</v>
      </c>
      <c r="F126" s="65">
        <v>10</v>
      </c>
      <c r="G126" s="66">
        <v>0</v>
      </c>
      <c r="H126" s="138">
        <f t="shared" si="22"/>
        <v>3336.39705882353</v>
      </c>
      <c r="I126" s="71">
        <f t="shared" si="23"/>
        <v>3025.0000000000005</v>
      </c>
      <c r="J126" s="62">
        <f t="shared" si="24"/>
        <v>231412.50000000006</v>
      </c>
      <c r="K126" s="307"/>
      <c r="L126" s="410">
        <f>IF(OR(Калькуляция!$F126=3,),3,0)</f>
        <v>0</v>
      </c>
      <c r="M126" s="410">
        <f>IF(OR(Калькуляция!$F126=6,),6,0)</f>
        <v>0</v>
      </c>
      <c r="N126" s="410">
        <f>IF(OR(Калькуляция!$F126=9,),9,0)</f>
        <v>0</v>
      </c>
      <c r="O126" s="410">
        <f>IF(OR(Калькуляция!$F126=3,Калькуляция!$F126=6,Калькуляция!$F126=9,),369,0)</f>
        <v>0</v>
      </c>
      <c r="P126" s="139">
        <f t="shared" si="25"/>
        <v>0</v>
      </c>
      <c r="Q126" s="68">
        <f t="shared" si="26"/>
        <v>0</v>
      </c>
    </row>
    <row r="127" spans="1:17" s="29" customFormat="1" ht="12.75">
      <c r="A127" s="325">
        <f t="shared" si="21"/>
        <v>109</v>
      </c>
      <c r="B127" s="413" t="s">
        <v>34</v>
      </c>
      <c r="C127" s="414" t="s">
        <v>250</v>
      </c>
      <c r="D127" s="50" t="s">
        <v>27</v>
      </c>
      <c r="E127" s="118"/>
      <c r="F127" s="415">
        <v>1</v>
      </c>
      <c r="G127" s="416">
        <v>110</v>
      </c>
      <c r="H127" s="138">
        <f t="shared" si="22"/>
        <v>121.00000000000001</v>
      </c>
      <c r="I127" s="71">
        <f t="shared" si="23"/>
        <v>109.70666666666668</v>
      </c>
      <c r="J127" s="62">
        <f t="shared" si="24"/>
        <v>8392.560000000001</v>
      </c>
      <c r="K127" s="307"/>
      <c r="L127" s="410">
        <f>IF(OR(Калькуляция!$F127=3,),3,0)</f>
        <v>0</v>
      </c>
      <c r="M127" s="410">
        <f>IF(OR(Калькуляция!$F127=6,),6,0)</f>
        <v>0</v>
      </c>
      <c r="N127" s="410">
        <f>IF(OR(Калькуляция!$F127=9,),9,0)</f>
        <v>0</v>
      </c>
      <c r="O127" s="410">
        <f>IF(OR(Калькуляция!$F127=3,Калькуляция!$F127=6,Калькуляция!$F127=9,),369,0)</f>
        <v>0</v>
      </c>
      <c r="P127" s="80">
        <f t="shared" si="25"/>
        <v>0</v>
      </c>
      <c r="Q127" s="68">
        <f t="shared" si="26"/>
        <v>0</v>
      </c>
    </row>
    <row r="128" spans="1:17" s="30" customFormat="1" ht="12.75">
      <c r="A128" s="325">
        <f t="shared" si="21"/>
        <v>110</v>
      </c>
      <c r="B128" s="417" t="s">
        <v>404</v>
      </c>
      <c r="C128" s="418"/>
      <c r="D128" s="417" t="s">
        <v>36</v>
      </c>
      <c r="E128" s="419">
        <v>25</v>
      </c>
      <c r="F128" s="420">
        <v>3</v>
      </c>
      <c r="G128" s="421">
        <v>0</v>
      </c>
      <c r="H128" s="138">
        <f t="shared" si="22"/>
        <v>24.264705882352946</v>
      </c>
      <c r="I128" s="71">
        <f t="shared" si="23"/>
        <v>22.000000000000004</v>
      </c>
      <c r="J128" s="62">
        <f t="shared" si="24"/>
        <v>1683.0000000000002</v>
      </c>
      <c r="K128" s="307"/>
      <c r="L128" s="410">
        <f>IF(OR(Калькуляция!$F128=3,),3,0)</f>
        <v>3</v>
      </c>
      <c r="M128" s="410">
        <f>IF(OR(Калькуляция!$F128=6,),6,0)</f>
        <v>0</v>
      </c>
      <c r="N128" s="410">
        <f>IF(OR(Калькуляция!$F128=9,),9,0)</f>
        <v>0</v>
      </c>
      <c r="O128" s="410">
        <f>IF(OR(Калькуляция!$F128=3,Калькуляция!$F128=6,Калькуляция!$F128=9,),369,0)</f>
        <v>369</v>
      </c>
      <c r="P128" s="144">
        <f t="shared" si="25"/>
        <v>0</v>
      </c>
      <c r="Q128" s="68">
        <f t="shared" si="26"/>
        <v>0</v>
      </c>
    </row>
    <row r="129" spans="1:17" s="29" customFormat="1" ht="12.75">
      <c r="A129" s="325">
        <f t="shared" si="21"/>
        <v>111</v>
      </c>
      <c r="B129" s="50" t="s">
        <v>157</v>
      </c>
      <c r="C129" s="412" t="s">
        <v>276</v>
      </c>
      <c r="D129" s="50" t="s">
        <v>27</v>
      </c>
      <c r="E129" s="118">
        <v>155</v>
      </c>
      <c r="F129" s="65">
        <v>10</v>
      </c>
      <c r="G129" s="66">
        <v>0</v>
      </c>
      <c r="H129" s="138">
        <f t="shared" si="22"/>
        <v>188.0514705882353</v>
      </c>
      <c r="I129" s="71">
        <f t="shared" si="23"/>
        <v>170.5</v>
      </c>
      <c r="J129" s="62">
        <f t="shared" si="24"/>
        <v>13043.25</v>
      </c>
      <c r="K129" s="307"/>
      <c r="L129" s="410">
        <f>IF(OR(Калькуляция!$F129=3,),3,0)</f>
        <v>0</v>
      </c>
      <c r="M129" s="410">
        <f>IF(OR(Калькуляция!$F129=6,),6,0)</f>
        <v>0</v>
      </c>
      <c r="N129" s="410">
        <f>IF(OR(Калькуляция!$F129=9,),9,0)</f>
        <v>0</v>
      </c>
      <c r="O129" s="410">
        <f>IF(OR(Калькуляция!$F129=3,Калькуляция!$F129=6,Калькуляция!$F129=9,),369,0)</f>
        <v>0</v>
      </c>
      <c r="P129" s="139">
        <f t="shared" si="25"/>
        <v>0</v>
      </c>
      <c r="Q129" s="68">
        <f t="shared" si="26"/>
        <v>0</v>
      </c>
    </row>
    <row r="130" spans="1:17" s="29" customFormat="1" ht="12.75">
      <c r="A130" s="325">
        <f t="shared" si="21"/>
        <v>112</v>
      </c>
      <c r="B130" s="50" t="s">
        <v>157</v>
      </c>
      <c r="C130" s="412" t="s">
        <v>277</v>
      </c>
      <c r="D130" s="50" t="s">
        <v>27</v>
      </c>
      <c r="E130" s="118">
        <v>260</v>
      </c>
      <c r="F130" s="65">
        <v>10</v>
      </c>
      <c r="G130" s="66">
        <v>0</v>
      </c>
      <c r="H130" s="138">
        <f t="shared" si="22"/>
        <v>315.44117647058823</v>
      </c>
      <c r="I130" s="71">
        <f t="shared" si="23"/>
        <v>286</v>
      </c>
      <c r="J130" s="62">
        <f t="shared" si="24"/>
        <v>21879</v>
      </c>
      <c r="K130" s="307"/>
      <c r="L130" s="410">
        <f>IF(OR(Калькуляция!$F130=3,),3,0)</f>
        <v>0</v>
      </c>
      <c r="M130" s="410">
        <f>IF(OR(Калькуляция!$F130=6,),6,0)</f>
        <v>0</v>
      </c>
      <c r="N130" s="410">
        <f>IF(OR(Калькуляция!$F130=9,),9,0)</f>
        <v>0</v>
      </c>
      <c r="O130" s="410">
        <f>IF(OR(Калькуляция!$F130=3,Калькуляция!$F130=6,Калькуляция!$F130=9,),369,0)</f>
        <v>0</v>
      </c>
      <c r="P130" s="139">
        <f t="shared" si="25"/>
        <v>0</v>
      </c>
      <c r="Q130" s="68">
        <f t="shared" si="26"/>
        <v>0</v>
      </c>
    </row>
    <row r="131" spans="1:17" s="29" customFormat="1" ht="12.75">
      <c r="A131" s="325">
        <f t="shared" si="21"/>
        <v>113</v>
      </c>
      <c r="B131" s="50" t="s">
        <v>157</v>
      </c>
      <c r="C131" s="412" t="s">
        <v>278</v>
      </c>
      <c r="D131" s="50" t="s">
        <v>27</v>
      </c>
      <c r="E131" s="118">
        <v>300</v>
      </c>
      <c r="F131" s="65">
        <v>10</v>
      </c>
      <c r="G131" s="66">
        <v>0</v>
      </c>
      <c r="H131" s="138">
        <f t="shared" si="22"/>
        <v>363.97058823529414</v>
      </c>
      <c r="I131" s="71">
        <f t="shared" si="23"/>
        <v>330</v>
      </c>
      <c r="J131" s="62">
        <f t="shared" si="24"/>
        <v>25245</v>
      </c>
      <c r="K131" s="307"/>
      <c r="L131" s="410">
        <f>IF(OR(Калькуляция!$F131=3,),3,0)</f>
        <v>0</v>
      </c>
      <c r="M131" s="410">
        <f>IF(OR(Калькуляция!$F131=6,),6,0)</f>
        <v>0</v>
      </c>
      <c r="N131" s="410">
        <f>IF(OR(Калькуляция!$F131=9,),9,0)</f>
        <v>0</v>
      </c>
      <c r="O131" s="410">
        <f>IF(OR(Калькуляция!$F131=3,Калькуляция!$F131=6,Калькуляция!$F131=9,),369,0)</f>
        <v>0</v>
      </c>
      <c r="P131" s="139">
        <f t="shared" si="25"/>
        <v>0</v>
      </c>
      <c r="Q131" s="68">
        <f t="shared" si="26"/>
        <v>0</v>
      </c>
    </row>
    <row r="132" spans="1:17" s="30" customFormat="1" ht="12.75">
      <c r="A132" s="325">
        <f t="shared" si="21"/>
        <v>114</v>
      </c>
      <c r="B132" s="417" t="s">
        <v>406</v>
      </c>
      <c r="C132" s="418"/>
      <c r="D132" s="417" t="s">
        <v>30</v>
      </c>
      <c r="E132" s="419">
        <v>50</v>
      </c>
      <c r="F132" s="420">
        <v>2</v>
      </c>
      <c r="G132" s="421">
        <v>0</v>
      </c>
      <c r="H132" s="138">
        <f t="shared" si="22"/>
        <v>60.66176470588236</v>
      </c>
      <c r="I132" s="71">
        <f t="shared" si="23"/>
        <v>55.00000000000001</v>
      </c>
      <c r="J132" s="62">
        <f t="shared" si="24"/>
        <v>4207.500000000001</v>
      </c>
      <c r="K132" s="307"/>
      <c r="L132" s="410">
        <f>IF(OR(Калькуляция!$F132=3,),3,0)</f>
        <v>0</v>
      </c>
      <c r="M132" s="410">
        <f>IF(OR(Калькуляция!$F132=6,),6,0)</f>
        <v>0</v>
      </c>
      <c r="N132" s="410">
        <f>IF(OR(Калькуляция!$F132=9,),9,0)</f>
        <v>0</v>
      </c>
      <c r="O132" s="410">
        <f>IF(OR(Калькуляция!$F132=3,Калькуляция!$F132=6,Калькуляция!$F132=9,),369,0)</f>
        <v>0</v>
      </c>
      <c r="P132" s="139">
        <f t="shared" si="25"/>
        <v>0</v>
      </c>
      <c r="Q132" s="68">
        <f t="shared" si="26"/>
        <v>0</v>
      </c>
    </row>
    <row r="133" spans="1:17" s="30" customFormat="1" ht="12.75">
      <c r="A133" s="325">
        <f t="shared" si="21"/>
        <v>115</v>
      </c>
      <c r="B133" s="417" t="s">
        <v>166</v>
      </c>
      <c r="C133" s="418" t="s">
        <v>330</v>
      </c>
      <c r="D133" s="417" t="s">
        <v>30</v>
      </c>
      <c r="E133" s="419">
        <v>20</v>
      </c>
      <c r="F133" s="420">
        <v>2</v>
      </c>
      <c r="G133" s="421">
        <v>0</v>
      </c>
      <c r="H133" s="138">
        <f t="shared" si="22"/>
        <v>24.264705882352942</v>
      </c>
      <c r="I133" s="71">
        <f t="shared" si="23"/>
        <v>22</v>
      </c>
      <c r="J133" s="62">
        <f t="shared" si="24"/>
        <v>1683</v>
      </c>
      <c r="K133" s="307"/>
      <c r="L133" s="410">
        <f>IF(OR(Калькуляция!$F133=3,),3,0)</f>
        <v>0</v>
      </c>
      <c r="M133" s="410">
        <f>IF(OR(Калькуляция!$F133=6,),6,0)</f>
        <v>0</v>
      </c>
      <c r="N133" s="410">
        <f>IF(OR(Калькуляция!$F133=9,),9,0)</f>
        <v>0</v>
      </c>
      <c r="O133" s="410">
        <f>IF(OR(Калькуляция!$F133=3,Калькуляция!$F133=6,Калькуляция!$F133=9,),369,0)</f>
        <v>0</v>
      </c>
      <c r="P133" s="139">
        <f t="shared" si="25"/>
        <v>0</v>
      </c>
      <c r="Q133" s="68">
        <f t="shared" si="26"/>
        <v>0</v>
      </c>
    </row>
    <row r="134" spans="1:17" s="29" customFormat="1" ht="12.75">
      <c r="A134" s="325">
        <f t="shared" si="21"/>
        <v>116</v>
      </c>
      <c r="B134" s="50" t="s">
        <v>156</v>
      </c>
      <c r="C134" s="412" t="s">
        <v>273</v>
      </c>
      <c r="D134" s="50" t="s">
        <v>27</v>
      </c>
      <c r="E134" s="118">
        <v>14</v>
      </c>
      <c r="F134" s="65">
        <v>10</v>
      </c>
      <c r="G134" s="66">
        <v>0</v>
      </c>
      <c r="H134" s="138">
        <f t="shared" si="22"/>
        <v>16.98529411764706</v>
      </c>
      <c r="I134" s="71">
        <f t="shared" si="23"/>
        <v>15.400000000000002</v>
      </c>
      <c r="J134" s="62">
        <f t="shared" si="24"/>
        <v>1178.1000000000004</v>
      </c>
      <c r="K134" s="307"/>
      <c r="L134" s="410">
        <f>IF(OR(Калькуляция!$F134=3,),3,0)</f>
        <v>0</v>
      </c>
      <c r="M134" s="410">
        <f>IF(OR(Калькуляция!$F134=6,),6,0)</f>
        <v>0</v>
      </c>
      <c r="N134" s="410">
        <f>IF(OR(Калькуляция!$F134=9,),9,0)</f>
        <v>0</v>
      </c>
      <c r="O134" s="410">
        <f>IF(OR(Калькуляция!$F134=3,Калькуляция!$F134=6,Калькуляция!$F134=9,),369,0)</f>
        <v>0</v>
      </c>
      <c r="P134" s="139">
        <f t="shared" si="25"/>
        <v>0</v>
      </c>
      <c r="Q134" s="68">
        <f t="shared" si="26"/>
        <v>0</v>
      </c>
    </row>
    <row r="135" spans="1:17" s="29" customFormat="1" ht="12.75">
      <c r="A135" s="325">
        <f t="shared" si="21"/>
        <v>117</v>
      </c>
      <c r="B135" s="50" t="s">
        <v>156</v>
      </c>
      <c r="C135" s="412" t="s">
        <v>274</v>
      </c>
      <c r="D135" s="50" t="s">
        <v>27</v>
      </c>
      <c r="E135" s="118">
        <v>115</v>
      </c>
      <c r="F135" s="65">
        <v>10</v>
      </c>
      <c r="G135" s="66">
        <v>0</v>
      </c>
      <c r="H135" s="138">
        <f t="shared" si="22"/>
        <v>139.52205882352945</v>
      </c>
      <c r="I135" s="71">
        <f t="shared" si="23"/>
        <v>126.50000000000001</v>
      </c>
      <c r="J135" s="62">
        <f t="shared" si="24"/>
        <v>9677.250000000002</v>
      </c>
      <c r="K135" s="307"/>
      <c r="L135" s="410">
        <f>IF(OR(Калькуляция!$F135=3,),3,0)</f>
        <v>0</v>
      </c>
      <c r="M135" s="410">
        <f>IF(OR(Калькуляция!$F135=6,),6,0)</f>
        <v>0</v>
      </c>
      <c r="N135" s="410">
        <f>IF(OR(Калькуляция!$F135=9,),9,0)</f>
        <v>0</v>
      </c>
      <c r="O135" s="410">
        <f>IF(OR(Калькуляция!$F135=3,Калькуляция!$F135=6,Калькуляция!$F135=9,),369,0)</f>
        <v>0</v>
      </c>
      <c r="P135" s="139">
        <f t="shared" si="25"/>
        <v>0</v>
      </c>
      <c r="Q135" s="68">
        <f t="shared" si="26"/>
        <v>0</v>
      </c>
    </row>
    <row r="136" spans="1:17" s="29" customFormat="1" ht="12.75">
      <c r="A136" s="325">
        <f t="shared" si="21"/>
        <v>118</v>
      </c>
      <c r="B136" s="50" t="s">
        <v>233</v>
      </c>
      <c r="C136" s="412" t="s">
        <v>275</v>
      </c>
      <c r="D136" s="50" t="s">
        <v>27</v>
      </c>
      <c r="E136" s="118">
        <v>10</v>
      </c>
      <c r="F136" s="65">
        <v>10</v>
      </c>
      <c r="G136" s="66">
        <v>0</v>
      </c>
      <c r="H136" s="138">
        <f t="shared" si="22"/>
        <v>12.132352941176471</v>
      </c>
      <c r="I136" s="71">
        <f t="shared" si="23"/>
        <v>11</v>
      </c>
      <c r="J136" s="62">
        <f t="shared" si="24"/>
        <v>841.5</v>
      </c>
      <c r="K136" s="307"/>
      <c r="L136" s="410">
        <f>IF(OR(Калькуляция!$F136=3,),3,0)</f>
        <v>0</v>
      </c>
      <c r="M136" s="410">
        <f>IF(OR(Калькуляция!$F136=6,),6,0)</f>
        <v>0</v>
      </c>
      <c r="N136" s="410">
        <f>IF(OR(Калькуляция!$F136=9,),9,0)</f>
        <v>0</v>
      </c>
      <c r="O136" s="410">
        <f>IF(OR(Калькуляция!$F136=3,Калькуляция!$F136=6,Калькуляция!$F136=9,),369,0)</f>
        <v>0</v>
      </c>
      <c r="P136" s="139">
        <f t="shared" si="25"/>
        <v>0</v>
      </c>
      <c r="Q136" s="68">
        <f t="shared" si="26"/>
        <v>0</v>
      </c>
    </row>
    <row r="137" spans="1:17" s="30" customFormat="1" ht="12.75">
      <c r="A137" s="325">
        <f t="shared" si="21"/>
        <v>119</v>
      </c>
      <c r="B137" s="417" t="s">
        <v>399</v>
      </c>
      <c r="C137" s="418"/>
      <c r="D137" s="417" t="s">
        <v>36</v>
      </c>
      <c r="E137" s="419">
        <f>30</f>
        <v>30</v>
      </c>
      <c r="F137" s="420">
        <v>3</v>
      </c>
      <c r="G137" s="421">
        <v>0</v>
      </c>
      <c r="H137" s="138">
        <f t="shared" si="22"/>
        <v>29.117647058823533</v>
      </c>
      <c r="I137" s="71">
        <f t="shared" si="23"/>
        <v>26.400000000000002</v>
      </c>
      <c r="J137" s="62">
        <f t="shared" si="24"/>
        <v>2019.6000000000004</v>
      </c>
      <c r="K137" s="307"/>
      <c r="L137" s="410">
        <f>IF(OR(Калькуляция!$F137=3,),3,0)</f>
        <v>3</v>
      </c>
      <c r="M137" s="410">
        <f>IF(OR(Калькуляция!$F137=6,),6,0)</f>
        <v>0</v>
      </c>
      <c r="N137" s="410">
        <f>IF(OR(Калькуляция!$F137=9,),9,0)</f>
        <v>0</v>
      </c>
      <c r="O137" s="410">
        <f>IF(OR(Калькуляция!$F137=3,Калькуляция!$F137=6,Калькуляция!$F137=9,),369,0)</f>
        <v>369</v>
      </c>
      <c r="P137" s="144">
        <f t="shared" si="25"/>
        <v>0</v>
      </c>
      <c r="Q137" s="68">
        <f t="shared" si="26"/>
        <v>0</v>
      </c>
    </row>
    <row r="138" spans="1:17" s="29" customFormat="1" ht="12.75">
      <c r="A138" s="325">
        <f t="shared" si="21"/>
        <v>120</v>
      </c>
      <c r="B138" s="50" t="s">
        <v>236</v>
      </c>
      <c r="C138" s="412" t="s">
        <v>402</v>
      </c>
      <c r="D138" s="50" t="s">
        <v>27</v>
      </c>
      <c r="E138" s="118">
        <v>45</v>
      </c>
      <c r="F138" s="65">
        <v>10</v>
      </c>
      <c r="G138" s="66">
        <v>0</v>
      </c>
      <c r="H138" s="138">
        <f t="shared" si="22"/>
        <v>54.59558823529413</v>
      </c>
      <c r="I138" s="71">
        <f t="shared" si="23"/>
        <v>49.50000000000001</v>
      </c>
      <c r="J138" s="62">
        <f t="shared" si="24"/>
        <v>3786.750000000001</v>
      </c>
      <c r="K138" s="307"/>
      <c r="L138" s="410">
        <f>IF(OR(Калькуляция!$F138=3,),3,0)</f>
        <v>0</v>
      </c>
      <c r="M138" s="410">
        <f>IF(OR(Калькуляция!$F138=6,),6,0)</f>
        <v>0</v>
      </c>
      <c r="N138" s="410">
        <f>IF(OR(Калькуляция!$F138=9,),9,0)</f>
        <v>0</v>
      </c>
      <c r="O138" s="410">
        <f>IF(OR(Калькуляция!$F138=3,Калькуляция!$F138=6,Калькуляция!$F138=9,),369,0)</f>
        <v>0</v>
      </c>
      <c r="P138" s="139">
        <f t="shared" si="25"/>
        <v>0</v>
      </c>
      <c r="Q138" s="68">
        <f t="shared" si="26"/>
        <v>0</v>
      </c>
    </row>
    <row r="139" spans="1:17" s="30" customFormat="1" ht="12.75">
      <c r="A139" s="325">
        <f t="shared" si="21"/>
        <v>121</v>
      </c>
      <c r="B139" s="417" t="s">
        <v>403</v>
      </c>
      <c r="C139" s="418"/>
      <c r="D139" s="417" t="s">
        <v>30</v>
      </c>
      <c r="E139" s="419">
        <v>15</v>
      </c>
      <c r="F139" s="420">
        <v>2</v>
      </c>
      <c r="G139" s="421">
        <v>0</v>
      </c>
      <c r="H139" s="138">
        <f t="shared" si="22"/>
        <v>18.198529411764707</v>
      </c>
      <c r="I139" s="71">
        <f t="shared" si="23"/>
        <v>16.5</v>
      </c>
      <c r="J139" s="62">
        <f t="shared" si="24"/>
        <v>1262.25</v>
      </c>
      <c r="K139" s="307"/>
      <c r="L139" s="410">
        <f>IF(OR(Калькуляция!$F139=3,),3,0)</f>
        <v>0</v>
      </c>
      <c r="M139" s="410">
        <f>IF(OR(Калькуляция!$F139=6,),6,0)</f>
        <v>0</v>
      </c>
      <c r="N139" s="410">
        <f>IF(OR(Калькуляция!$F139=9,),9,0)</f>
        <v>0</v>
      </c>
      <c r="O139" s="410">
        <f>IF(OR(Калькуляция!$F139=3,Калькуляция!$F139=6,Калькуляция!$F139=9,),369,0)</f>
        <v>0</v>
      </c>
      <c r="P139" s="139">
        <f t="shared" si="25"/>
        <v>0</v>
      </c>
      <c r="Q139" s="68">
        <f t="shared" si="26"/>
        <v>0</v>
      </c>
    </row>
    <row r="140" spans="1:17" s="30" customFormat="1" ht="24" customHeight="1">
      <c r="A140" s="335">
        <f t="shared" si="21"/>
        <v>122</v>
      </c>
      <c r="B140" s="462" t="s">
        <v>401</v>
      </c>
      <c r="C140" s="463"/>
      <c r="D140" s="57" t="s">
        <v>36</v>
      </c>
      <c r="E140" s="141">
        <v>80</v>
      </c>
      <c r="F140" s="142">
        <v>9</v>
      </c>
      <c r="G140" s="143">
        <v>0</v>
      </c>
      <c r="H140" s="138">
        <f t="shared" si="22"/>
        <v>77.64705882352942</v>
      </c>
      <c r="I140" s="71">
        <f t="shared" si="23"/>
        <v>70.4</v>
      </c>
      <c r="J140" s="62">
        <f t="shared" si="24"/>
        <v>5385.600000000001</v>
      </c>
      <c r="K140" s="307"/>
      <c r="L140" s="410">
        <f>IF(OR(Калькуляция!$F140=3,),3,0)</f>
        <v>0</v>
      </c>
      <c r="M140" s="410">
        <f>IF(OR(Калькуляция!$F140=6,),6,0)</f>
        <v>0</v>
      </c>
      <c r="N140" s="410">
        <f>IF(OR(Калькуляция!$F140=9,),9,0)</f>
        <v>9</v>
      </c>
      <c r="O140" s="410">
        <f>IF(OR(Калькуляция!$F140=3,Калькуляция!$F140=6,Калькуляция!$F140=9,),369,0)</f>
        <v>369</v>
      </c>
      <c r="P140" s="144">
        <f t="shared" si="25"/>
        <v>0</v>
      </c>
      <c r="Q140" s="68">
        <f t="shared" si="26"/>
        <v>0</v>
      </c>
    </row>
    <row r="141" spans="1:17" s="30" customFormat="1" ht="12.75">
      <c r="A141" s="325">
        <f t="shared" si="21"/>
        <v>123</v>
      </c>
      <c r="B141" s="422" t="s">
        <v>405</v>
      </c>
      <c r="C141" s="418"/>
      <c r="D141" s="417" t="s">
        <v>36</v>
      </c>
      <c r="E141" s="419">
        <v>30</v>
      </c>
      <c r="F141" s="420">
        <v>6</v>
      </c>
      <c r="G141" s="421">
        <v>0</v>
      </c>
      <c r="H141" s="138">
        <f t="shared" si="22"/>
        <v>29.117647058823533</v>
      </c>
      <c r="I141" s="71">
        <f t="shared" si="23"/>
        <v>26.400000000000002</v>
      </c>
      <c r="J141" s="62">
        <f t="shared" si="24"/>
        <v>2019.6000000000004</v>
      </c>
      <c r="K141" s="307"/>
      <c r="L141" s="410">
        <f>IF(OR(Калькуляция!$F141=3,),3,0)</f>
        <v>0</v>
      </c>
      <c r="M141" s="410">
        <f>IF(OR(Калькуляция!$F141=6,),6,0)</f>
        <v>6</v>
      </c>
      <c r="N141" s="410">
        <f>IF(OR(Калькуляция!$F141=9,),9,0)</f>
        <v>0</v>
      </c>
      <c r="O141" s="410">
        <f>IF(OR(Калькуляция!$F141=3,Калькуляция!$F141=6,Калькуляция!$F141=9,),369,0)</f>
        <v>369</v>
      </c>
      <c r="P141" s="144">
        <f t="shared" si="25"/>
        <v>0</v>
      </c>
      <c r="Q141" s="68">
        <f t="shared" si="26"/>
        <v>0</v>
      </c>
    </row>
    <row r="142" spans="1:17" s="30" customFormat="1" ht="12.75">
      <c r="A142" s="423">
        <f t="shared" si="21"/>
        <v>124</v>
      </c>
      <c r="B142" s="424" t="s">
        <v>239</v>
      </c>
      <c r="C142" s="425"/>
      <c r="D142" s="424" t="s">
        <v>36</v>
      </c>
      <c r="E142" s="426">
        <v>30</v>
      </c>
      <c r="F142" s="427">
        <v>6</v>
      </c>
      <c r="G142" s="428">
        <v>0</v>
      </c>
      <c r="H142" s="138">
        <f t="shared" si="22"/>
        <v>29.117647058823533</v>
      </c>
      <c r="I142" s="71">
        <f t="shared" si="23"/>
        <v>26.400000000000002</v>
      </c>
      <c r="J142" s="312">
        <f t="shared" si="24"/>
        <v>2019.6000000000004</v>
      </c>
      <c r="K142" s="307"/>
      <c r="L142" s="410">
        <f>IF(OR(Калькуляция!$F142=3,),3,0)</f>
        <v>0</v>
      </c>
      <c r="M142" s="410">
        <f>IF(OR(Калькуляция!$F142=6,),6,0)</f>
        <v>6</v>
      </c>
      <c r="N142" s="410">
        <f>IF(OR(Калькуляция!$F142=9,),9,0)</f>
        <v>0</v>
      </c>
      <c r="O142" s="410">
        <f>IF(OR(Калькуляция!$F142=3,Калькуляция!$F142=6,Калькуляция!$F142=9,),369,0)</f>
        <v>369</v>
      </c>
      <c r="P142" s="262">
        <f t="shared" si="25"/>
        <v>0</v>
      </c>
      <c r="Q142" s="263">
        <f t="shared" si="26"/>
        <v>0</v>
      </c>
    </row>
    <row r="143" spans="1:17" s="30" customFormat="1" ht="12.75">
      <c r="A143" s="423">
        <f t="shared" si="21"/>
        <v>125</v>
      </c>
      <c r="B143" s="424" t="s">
        <v>407</v>
      </c>
      <c r="C143" s="425"/>
      <c r="D143" s="424" t="s">
        <v>36</v>
      </c>
      <c r="E143" s="426">
        <v>15</v>
      </c>
      <c r="F143" s="427">
        <v>6</v>
      </c>
      <c r="G143" s="428">
        <v>0</v>
      </c>
      <c r="H143" s="138">
        <f t="shared" si="22"/>
        <v>14.558823529411766</v>
      </c>
      <c r="I143" s="71">
        <f t="shared" si="23"/>
        <v>13.200000000000001</v>
      </c>
      <c r="J143" s="312">
        <f t="shared" si="24"/>
        <v>1009.8000000000002</v>
      </c>
      <c r="K143" s="307"/>
      <c r="L143" s="410">
        <f>IF(OR(Калькуляция!$F143=3,),3,0)</f>
        <v>0</v>
      </c>
      <c r="M143" s="410">
        <f>IF(OR(Калькуляция!$F143=6,),6,0)</f>
        <v>6</v>
      </c>
      <c r="N143" s="410">
        <f>IF(OR(Калькуляция!$F143=9,),9,0)</f>
        <v>0</v>
      </c>
      <c r="O143" s="410">
        <f>IF(OR(Калькуляция!$F143=3,Калькуляция!$F143=6,Калькуляция!$F143=9,),369,0)</f>
        <v>369</v>
      </c>
      <c r="P143" s="262">
        <f t="shared" si="25"/>
        <v>0</v>
      </c>
      <c r="Q143" s="263">
        <f t="shared" si="26"/>
        <v>0</v>
      </c>
    </row>
    <row r="144" spans="1:17" ht="34.5" customHeight="1">
      <c r="A144" s="472" t="s">
        <v>4</v>
      </c>
      <c r="B144" s="473"/>
      <c r="C144" s="473"/>
      <c r="D144" s="474"/>
      <c r="E144" s="475"/>
      <c r="F144" s="475"/>
      <c r="G144" s="475"/>
      <c r="H144" s="475"/>
      <c r="I144" s="475"/>
      <c r="J144" s="476"/>
      <c r="K144" s="346" t="str">
        <f>IF(Q144=0," ","Итого по разделу:")</f>
        <v> </v>
      </c>
      <c r="L144" s="410">
        <f>IF(OR(Калькуляция!$F144=3,),3,0)</f>
        <v>0</v>
      </c>
      <c r="M144" s="410">
        <f>IF(OR(Калькуляция!$F144=6,),6,0)</f>
        <v>0</v>
      </c>
      <c r="N144" s="410">
        <f>IF(OR(Калькуляция!$F144=9,),9,0)</f>
        <v>0</v>
      </c>
      <c r="O144" s="410">
        <f>IF(OR(Калькуляция!$F144=3,Калькуляция!$F144=6,Калькуляция!$F144=9,),369,0)</f>
        <v>0</v>
      </c>
      <c r="P144" s="311"/>
      <c r="Q144" s="310">
        <f>SUM(Q122:Q143)</f>
        <v>0</v>
      </c>
    </row>
    <row r="145" spans="1:17" s="29" customFormat="1" ht="18.75" customHeight="1">
      <c r="A145" s="469" t="s">
        <v>307</v>
      </c>
      <c r="B145" s="470"/>
      <c r="C145" s="470"/>
      <c r="D145" s="470"/>
      <c r="E145" s="470"/>
      <c r="F145" s="470"/>
      <c r="G145" s="470"/>
      <c r="H145" s="470"/>
      <c r="I145" s="470"/>
      <c r="J145" s="470"/>
      <c r="K145" s="344" t="str">
        <f>IF(Q153=0," ","(Разд.04)")</f>
        <v> </v>
      </c>
      <c r="L145" s="410">
        <f>IF(OR(Калькуляция!$F145=3,),3,0)</f>
        <v>0</v>
      </c>
      <c r="M145" s="410">
        <f>IF(OR(Калькуляция!$F145=6,),6,0)</f>
        <v>0</v>
      </c>
      <c r="N145" s="410">
        <f>IF(OR(Калькуляция!$F145=9,),9,0)</f>
        <v>0</v>
      </c>
      <c r="O145" s="410">
        <f>IF(OR(Калькуляция!$F145=3,Калькуляция!$F145=6,Калькуляция!$F145=9,),369,0)</f>
        <v>0</v>
      </c>
      <c r="P145" s="308"/>
      <c r="Q145" s="308"/>
    </row>
    <row r="146" spans="1:17" s="29" customFormat="1" ht="12.75">
      <c r="A146" s="334">
        <f>ROW()-18</f>
        <v>128</v>
      </c>
      <c r="B146" s="36" t="s">
        <v>33</v>
      </c>
      <c r="C146" s="290" t="s">
        <v>249</v>
      </c>
      <c r="D146" s="81" t="s">
        <v>27</v>
      </c>
      <c r="E146" s="82"/>
      <c r="F146" s="83">
        <v>1</v>
      </c>
      <c r="G146" s="84">
        <v>540</v>
      </c>
      <c r="H146" s="138">
        <f aca="true" t="shared" si="27" ref="H146:H152">I146/$L$358</f>
        <v>594.0000000000001</v>
      </c>
      <c r="I146" s="71">
        <f aca="true" t="shared" si="28" ref="I146:I152">$J$7*(E146+PRODUCT(G146,$L$358))*IF(OR(F146=1,F146=10),(100-$D$15)/100,IF(OR(F146=3,F146=6,F146=9),(100-$D$16)/100,IF(OR(F146=2,F146=4),(100-$D$17)/100,1)))</f>
        <v>538.5600000000001</v>
      </c>
      <c r="J146" s="62">
        <f aca="true" t="shared" si="29" ref="J146:J152">PRODUCT(I146,1/$L$358,$L$357,1.02)</f>
        <v>41199.84000000001</v>
      </c>
      <c r="K146" s="307"/>
      <c r="L146" s="410">
        <f>IF(OR(Калькуляция!$F146=3,),3,0)</f>
        <v>0</v>
      </c>
      <c r="M146" s="410">
        <f>IF(OR(Калькуляция!$F146=6,),6,0)</f>
        <v>0</v>
      </c>
      <c r="N146" s="410">
        <f>IF(OR(Калькуляция!$F146=9,),9,0)</f>
        <v>0</v>
      </c>
      <c r="O146" s="410">
        <f>IF(OR(Калькуляция!$F146=3,Калькуляция!$F146=6,Калькуляция!$F146=9,),369,0)</f>
        <v>0</v>
      </c>
      <c r="P146" s="80">
        <f>I146*K146</f>
        <v>0</v>
      </c>
      <c r="Q146" s="68">
        <f aca="true" t="shared" si="30" ref="Q146:Q152">J146*K146</f>
        <v>0</v>
      </c>
    </row>
    <row r="147" spans="1:17" s="29" customFormat="1" ht="12.75">
      <c r="A147" s="370">
        <v>6</v>
      </c>
      <c r="B147" s="36" t="s">
        <v>358</v>
      </c>
      <c r="C147" s="290" t="s">
        <v>359</v>
      </c>
      <c r="D147" s="81" t="s">
        <v>27</v>
      </c>
      <c r="E147" s="82"/>
      <c r="F147" s="83">
        <v>1</v>
      </c>
      <c r="G147" s="84">
        <v>245</v>
      </c>
      <c r="H147" s="138">
        <f t="shared" si="27"/>
        <v>269.5</v>
      </c>
      <c r="I147" s="71">
        <f t="shared" si="28"/>
        <v>244.34666666666666</v>
      </c>
      <c r="J147" s="62">
        <f t="shared" si="29"/>
        <v>18692.52</v>
      </c>
      <c r="K147" s="307"/>
      <c r="L147" s="410">
        <f>IF(OR(Калькуляция!$F147=3,),3,0)</f>
        <v>0</v>
      </c>
      <c r="M147" s="410">
        <f>IF(OR(Калькуляция!$F147=6,),6,0)</f>
        <v>0</v>
      </c>
      <c r="N147" s="410">
        <f>IF(OR(Калькуляция!$F147=9,),9,0)</f>
        <v>0</v>
      </c>
      <c r="O147" s="410">
        <f>IF(OR(Калькуляция!$F147=3,Калькуляция!$F147=6,Калькуляция!$F147=9,),369,0)</f>
        <v>0</v>
      </c>
      <c r="P147" s="80">
        <v>0</v>
      </c>
      <c r="Q147" s="68">
        <f t="shared" si="30"/>
        <v>0</v>
      </c>
    </row>
    <row r="148" spans="1:17" s="29" customFormat="1" ht="12.75">
      <c r="A148" s="334">
        <f>ROW()-18</f>
        <v>130</v>
      </c>
      <c r="B148" s="36" t="s">
        <v>34</v>
      </c>
      <c r="C148" s="290" t="s">
        <v>250</v>
      </c>
      <c r="D148" s="81" t="s">
        <v>27</v>
      </c>
      <c r="E148" s="82"/>
      <c r="F148" s="83">
        <v>1</v>
      </c>
      <c r="G148" s="84">
        <v>110</v>
      </c>
      <c r="H148" s="138">
        <f t="shared" si="27"/>
        <v>121.00000000000001</v>
      </c>
      <c r="I148" s="71">
        <f t="shared" si="28"/>
        <v>109.70666666666668</v>
      </c>
      <c r="J148" s="62">
        <f t="shared" si="29"/>
        <v>8392.560000000001</v>
      </c>
      <c r="K148" s="307"/>
      <c r="L148" s="410">
        <f>IF(OR(Калькуляция!$F148=3,),3,0)</f>
        <v>0</v>
      </c>
      <c r="M148" s="410">
        <f>IF(OR(Калькуляция!$F148=6,),6,0)</f>
        <v>0</v>
      </c>
      <c r="N148" s="410">
        <f>IF(OR(Калькуляция!$F148=9,),9,0)</f>
        <v>0</v>
      </c>
      <c r="O148" s="410">
        <f>IF(OR(Калькуляция!$F148=3,Калькуляция!$F148=6,Калькуляция!$F148=9,),369,0)</f>
        <v>0</v>
      </c>
      <c r="P148" s="80">
        <f>I148*K148</f>
        <v>0</v>
      </c>
      <c r="Q148" s="68">
        <f t="shared" si="30"/>
        <v>0</v>
      </c>
    </row>
    <row r="149" spans="1:17" s="29" customFormat="1" ht="12.75">
      <c r="A149" s="334">
        <f>ROW()-18</f>
        <v>131</v>
      </c>
      <c r="B149" s="37" t="s">
        <v>28</v>
      </c>
      <c r="C149" s="85" t="s">
        <v>35</v>
      </c>
      <c r="D149" s="86" t="s">
        <v>27</v>
      </c>
      <c r="E149" s="87">
        <v>30</v>
      </c>
      <c r="F149" s="83">
        <v>2</v>
      </c>
      <c r="G149" s="84">
        <v>0</v>
      </c>
      <c r="H149" s="138">
        <f t="shared" si="27"/>
        <v>36.39705882352941</v>
      </c>
      <c r="I149" s="71">
        <f t="shared" si="28"/>
        <v>33</v>
      </c>
      <c r="J149" s="62">
        <f t="shared" si="29"/>
        <v>2524.5</v>
      </c>
      <c r="K149" s="307"/>
      <c r="L149" s="410">
        <f>IF(OR(Калькуляция!$F149=3,),3,0)</f>
        <v>0</v>
      </c>
      <c r="M149" s="410">
        <f>IF(OR(Калькуляция!$F149=6,),6,0)</f>
        <v>0</v>
      </c>
      <c r="N149" s="410">
        <f>IF(OR(Калькуляция!$F149=9,),9,0)</f>
        <v>0</v>
      </c>
      <c r="O149" s="410">
        <f>IF(OR(Калькуляция!$F149=3,Калькуляция!$F149=6,Калькуляция!$F149=9,),369,0)</f>
        <v>0</v>
      </c>
      <c r="P149" s="80">
        <f>I149*K149</f>
        <v>0</v>
      </c>
      <c r="Q149" s="68">
        <f t="shared" si="30"/>
        <v>0</v>
      </c>
    </row>
    <row r="150" spans="1:17" s="29" customFormat="1" ht="12.75">
      <c r="A150" s="334">
        <f>ROW()-18</f>
        <v>132</v>
      </c>
      <c r="B150" s="38" t="s">
        <v>31</v>
      </c>
      <c r="C150" s="85" t="s">
        <v>35</v>
      </c>
      <c r="D150" s="38" t="s">
        <v>36</v>
      </c>
      <c r="E150" s="87">
        <v>65</v>
      </c>
      <c r="F150" s="83">
        <v>3</v>
      </c>
      <c r="G150" s="84">
        <v>0</v>
      </c>
      <c r="H150" s="138">
        <f t="shared" si="27"/>
        <v>63.08823529411765</v>
      </c>
      <c r="I150" s="71">
        <f t="shared" si="28"/>
        <v>57.2</v>
      </c>
      <c r="J150" s="62">
        <f t="shared" si="29"/>
        <v>4375.8</v>
      </c>
      <c r="K150" s="307"/>
      <c r="L150" s="410">
        <f>IF(OR(Калькуляция!$F150=3,),3,0)</f>
        <v>3</v>
      </c>
      <c r="M150" s="410">
        <f>IF(OR(Калькуляция!$F150=6,),6,0)</f>
        <v>0</v>
      </c>
      <c r="N150" s="410">
        <f>IF(OR(Калькуляция!$F150=9,),9,0)</f>
        <v>0</v>
      </c>
      <c r="O150" s="410">
        <f>IF(OR(Калькуляция!$F150=3,Калькуляция!$F150=6,Калькуляция!$F150=9,),369,0)</f>
        <v>369</v>
      </c>
      <c r="P150" s="80">
        <f>I150*K150</f>
        <v>0</v>
      </c>
      <c r="Q150" s="68">
        <f t="shared" si="30"/>
        <v>0</v>
      </c>
    </row>
    <row r="151" spans="1:17" s="30" customFormat="1" ht="24" customHeight="1">
      <c r="A151" s="335">
        <f>ROW()-18</f>
        <v>133</v>
      </c>
      <c r="B151" s="462" t="s">
        <v>422</v>
      </c>
      <c r="C151" s="463"/>
      <c r="D151" s="57" t="s">
        <v>36</v>
      </c>
      <c r="E151" s="141">
        <v>15</v>
      </c>
      <c r="F151" s="142">
        <v>9</v>
      </c>
      <c r="G151" s="143">
        <v>0</v>
      </c>
      <c r="H151" s="138">
        <f t="shared" si="27"/>
        <v>14.558823529411766</v>
      </c>
      <c r="I151" s="71">
        <f t="shared" si="28"/>
        <v>13.200000000000001</v>
      </c>
      <c r="J151" s="62">
        <f t="shared" si="29"/>
        <v>1009.8000000000002</v>
      </c>
      <c r="K151" s="307"/>
      <c r="L151" s="410">
        <f>IF(OR(Калькуляция!$F151=3,),3,0)</f>
        <v>0</v>
      </c>
      <c r="M151" s="410">
        <f>IF(OR(Калькуляция!$F151=6,),6,0)</f>
        <v>0</v>
      </c>
      <c r="N151" s="410">
        <f>IF(OR(Калькуляция!$F151=9,),9,0)</f>
        <v>9</v>
      </c>
      <c r="O151" s="410">
        <f>IF(OR(Калькуляция!$F151=3,Калькуляция!$F151=6,Калькуляция!$F151=9,),369,0)</f>
        <v>369</v>
      </c>
      <c r="P151" s="144">
        <f>I151*K151</f>
        <v>0</v>
      </c>
      <c r="Q151" s="68">
        <f t="shared" si="30"/>
        <v>0</v>
      </c>
    </row>
    <row r="152" spans="1:17" s="29" customFormat="1" ht="12.75">
      <c r="A152" s="334">
        <f>ROW()-18</f>
        <v>134</v>
      </c>
      <c r="B152" s="38" t="s">
        <v>413</v>
      </c>
      <c r="C152" s="85" t="s">
        <v>35</v>
      </c>
      <c r="D152" s="38" t="s">
        <v>36</v>
      </c>
      <c r="E152" s="87">
        <v>20</v>
      </c>
      <c r="F152" s="83">
        <v>6</v>
      </c>
      <c r="G152" s="84">
        <v>0</v>
      </c>
      <c r="H152" s="138">
        <f t="shared" si="27"/>
        <v>19.411764705882355</v>
      </c>
      <c r="I152" s="71">
        <f t="shared" si="28"/>
        <v>17.6</v>
      </c>
      <c r="J152" s="62">
        <f t="shared" si="29"/>
        <v>1346.4000000000003</v>
      </c>
      <c r="K152" s="307"/>
      <c r="L152" s="410">
        <f>IF(OR(Калькуляция!$F152=3,),3,0)</f>
        <v>0</v>
      </c>
      <c r="M152" s="410">
        <f>IF(OR(Калькуляция!$F152=6,),6,0)</f>
        <v>6</v>
      </c>
      <c r="N152" s="410">
        <f>IF(OR(Калькуляция!$F152=9,),9,0)</f>
        <v>0</v>
      </c>
      <c r="O152" s="410">
        <f>IF(OR(Калькуляция!$F152=3,Калькуляция!$F152=6,Калькуляция!$F152=9,),369,0)</f>
        <v>369</v>
      </c>
      <c r="P152" s="80">
        <f>I152*K152</f>
        <v>0</v>
      </c>
      <c r="Q152" s="68">
        <f t="shared" si="30"/>
        <v>0</v>
      </c>
    </row>
    <row r="153" spans="1:17" ht="37.5" customHeight="1">
      <c r="A153" s="477" t="s">
        <v>0</v>
      </c>
      <c r="B153" s="475"/>
      <c r="C153" s="475"/>
      <c r="D153" s="475"/>
      <c r="E153" s="475"/>
      <c r="F153" s="475"/>
      <c r="G153" s="475"/>
      <c r="H153" s="475"/>
      <c r="I153" s="475"/>
      <c r="J153" s="478"/>
      <c r="K153" s="345" t="str">
        <f>IF(Q153=0," ","Итого по разделу:")</f>
        <v> </v>
      </c>
      <c r="L153" s="410">
        <f>IF(OR(Калькуляция!$F153=3,),3,0)</f>
        <v>0</v>
      </c>
      <c r="M153" s="410">
        <f>IF(OR(Калькуляция!$F153=6,),6,0)</f>
        <v>0</v>
      </c>
      <c r="N153" s="410">
        <f>IF(OR(Калькуляция!$F153=9,),9,0)</f>
        <v>0</v>
      </c>
      <c r="O153" s="410">
        <f>IF(OR(Калькуляция!$F153=3,Калькуляция!$F153=6,Калькуляция!$F153=9,),369,0)</f>
        <v>0</v>
      </c>
      <c r="P153" s="311"/>
      <c r="Q153" s="310">
        <f>SUM(Q146:Q152)</f>
        <v>0</v>
      </c>
    </row>
    <row r="154" spans="1:17" s="29" customFormat="1" ht="18.75" customHeight="1">
      <c r="A154" s="469" t="s">
        <v>300</v>
      </c>
      <c r="B154" s="470"/>
      <c r="C154" s="470"/>
      <c r="D154" s="470"/>
      <c r="E154" s="470"/>
      <c r="F154" s="470"/>
      <c r="G154" s="470"/>
      <c r="H154" s="470"/>
      <c r="I154" s="470"/>
      <c r="J154" s="470"/>
      <c r="K154" s="344" t="str">
        <f>IF(Q175=0," ","(Разд.05)")</f>
        <v>(Разд.05)</v>
      </c>
      <c r="L154" s="410">
        <f>IF(OR(Калькуляция!$F154=3,),3,0)</f>
        <v>0</v>
      </c>
      <c r="M154" s="410">
        <f>IF(OR(Калькуляция!$F154=6,),6,0)</f>
        <v>0</v>
      </c>
      <c r="N154" s="410">
        <f>IF(OR(Калькуляция!$F154=9,),9,0)</f>
        <v>0</v>
      </c>
      <c r="O154" s="410">
        <f>IF(OR(Калькуляция!$F154=3,Калькуляция!$F154=6,Калькуляция!$F154=9,),369,0)</f>
        <v>0</v>
      </c>
      <c r="P154" s="308"/>
      <c r="Q154" s="308"/>
    </row>
    <row r="155" spans="1:17" s="29" customFormat="1" ht="12.75">
      <c r="A155" s="331">
        <f aca="true" t="shared" si="31" ref="A155:A174">ROW()-18</f>
        <v>137</v>
      </c>
      <c r="B155" s="39" t="s">
        <v>37</v>
      </c>
      <c r="C155" s="88" t="s">
        <v>251</v>
      </c>
      <c r="D155" s="89" t="s">
        <v>27</v>
      </c>
      <c r="E155" s="90">
        <v>165</v>
      </c>
      <c r="F155" s="91">
        <v>1</v>
      </c>
      <c r="G155" s="92">
        <v>0</v>
      </c>
      <c r="H155" s="138">
        <f aca="true" t="shared" si="32" ref="H155:H174">I155/$L$358</f>
        <v>200.1838235294118</v>
      </c>
      <c r="I155" s="71">
        <f aca="true" t="shared" si="33" ref="I155:I174">$J$7*(E155+PRODUCT(G155,$L$358))*IF(OR(F155=1,F155=10),(100-$D$15)/100,IF(OR(F155=3,F155=6,F155=9),(100-$D$16)/100,IF(OR(F155=2,F155=4),(100-$D$17)/100,1)))</f>
        <v>181.50000000000003</v>
      </c>
      <c r="J155" s="62">
        <f aca="true" t="shared" si="34" ref="J155:J165">PRODUCT(I155,1/$L$358,$L$357,1.02)</f>
        <v>13884.750000000002</v>
      </c>
      <c r="K155" s="307"/>
      <c r="L155" s="410">
        <f>IF(OR(Калькуляция!$F155=3,),3,0)</f>
        <v>0</v>
      </c>
      <c r="M155" s="410">
        <f>IF(OR(Калькуляция!$F155=6,),6,0)</f>
        <v>0</v>
      </c>
      <c r="N155" s="410">
        <f>IF(OR(Калькуляция!$F155=9,),9,0)</f>
        <v>0</v>
      </c>
      <c r="O155" s="410">
        <f>IF(OR(Калькуляция!$F155=3,Калькуляция!$F155=6,Калькуляция!$F155=9,),369,0)</f>
        <v>0</v>
      </c>
      <c r="P155" s="80">
        <f aca="true" t="shared" si="35" ref="P155:P174">I155*K155</f>
        <v>0</v>
      </c>
      <c r="Q155" s="68">
        <f aca="true" t="shared" si="36" ref="Q155:Q174">J155*K155</f>
        <v>0</v>
      </c>
    </row>
    <row r="156" spans="1:17" s="29" customFormat="1" ht="12.75">
      <c r="A156" s="332">
        <f t="shared" si="31"/>
        <v>138</v>
      </c>
      <c r="B156" s="182" t="s">
        <v>203</v>
      </c>
      <c r="C156" s="183" t="s">
        <v>251</v>
      </c>
      <c r="D156" s="194" t="s">
        <v>27</v>
      </c>
      <c r="E156" s="90">
        <v>250</v>
      </c>
      <c r="F156" s="91">
        <v>1</v>
      </c>
      <c r="G156" s="92">
        <v>0</v>
      </c>
      <c r="H156" s="138">
        <f t="shared" si="32"/>
        <v>303.30882352941177</v>
      </c>
      <c r="I156" s="71">
        <f t="shared" si="33"/>
        <v>275</v>
      </c>
      <c r="J156" s="62">
        <f t="shared" si="34"/>
        <v>21037.5</v>
      </c>
      <c r="K156" s="307"/>
      <c r="L156" s="410">
        <f>IF(OR(Калькуляция!$F156=3,),3,0)</f>
        <v>0</v>
      </c>
      <c r="M156" s="410">
        <f>IF(OR(Калькуляция!$F156=6,),6,0)</f>
        <v>0</v>
      </c>
      <c r="N156" s="410">
        <f>IF(OR(Калькуляция!$F156=9,),9,0)</f>
        <v>0</v>
      </c>
      <c r="O156" s="410">
        <f>IF(OR(Калькуляция!$F156=3,Калькуляция!$F156=6,Калькуляция!$F156=9,),369,0)</f>
        <v>0</v>
      </c>
      <c r="P156" s="80">
        <f t="shared" si="35"/>
        <v>0</v>
      </c>
      <c r="Q156" s="68">
        <f t="shared" si="36"/>
        <v>0</v>
      </c>
    </row>
    <row r="157" spans="1:17" s="29" customFormat="1" ht="12.75">
      <c r="A157" s="331">
        <f t="shared" si="31"/>
        <v>139</v>
      </c>
      <c r="B157" s="39" t="s">
        <v>38</v>
      </c>
      <c r="C157" s="88" t="s">
        <v>252</v>
      </c>
      <c r="D157" s="89" t="s">
        <v>27</v>
      </c>
      <c r="E157" s="90"/>
      <c r="F157" s="91">
        <v>1</v>
      </c>
      <c r="G157" s="92">
        <v>340</v>
      </c>
      <c r="H157" s="138">
        <f t="shared" si="32"/>
        <v>374.00000000000006</v>
      </c>
      <c r="I157" s="71">
        <f t="shared" si="33"/>
        <v>339.09333333333336</v>
      </c>
      <c r="J157" s="62">
        <f t="shared" si="34"/>
        <v>25940.640000000003</v>
      </c>
      <c r="K157" s="307">
        <v>1</v>
      </c>
      <c r="L157" s="410">
        <f>IF(OR(Калькуляция!$F157=3,),3,0)</f>
        <v>0</v>
      </c>
      <c r="M157" s="410">
        <f>IF(OR(Калькуляция!$F157=6,),6,0)</f>
        <v>0</v>
      </c>
      <c r="N157" s="410">
        <f>IF(OR(Калькуляция!$F157=9,),9,0)</f>
        <v>0</v>
      </c>
      <c r="O157" s="410">
        <f>IF(OR(Калькуляция!$F157=3,Калькуляция!$F157=6,Калькуляция!$F157=9,),369,0)</f>
        <v>0</v>
      </c>
      <c r="P157" s="67">
        <f t="shared" si="35"/>
        <v>339.09333333333336</v>
      </c>
      <c r="Q157" s="68">
        <f t="shared" si="36"/>
        <v>25940.640000000003</v>
      </c>
    </row>
    <row r="158" spans="1:17" s="29" customFormat="1" ht="12.75">
      <c r="A158" s="331">
        <f t="shared" si="31"/>
        <v>140</v>
      </c>
      <c r="B158" s="39" t="s">
        <v>39</v>
      </c>
      <c r="C158" s="88" t="s">
        <v>253</v>
      </c>
      <c r="D158" s="89" t="s">
        <v>27</v>
      </c>
      <c r="E158" s="90"/>
      <c r="F158" s="91">
        <v>1</v>
      </c>
      <c r="G158" s="92">
        <v>470</v>
      </c>
      <c r="H158" s="138">
        <f t="shared" si="32"/>
        <v>517</v>
      </c>
      <c r="I158" s="71">
        <f t="shared" si="33"/>
        <v>468.74666666666667</v>
      </c>
      <c r="J158" s="62">
        <f t="shared" si="34"/>
        <v>35859.12</v>
      </c>
      <c r="K158" s="307"/>
      <c r="L158" s="410">
        <f>IF(OR(Калькуляция!$F158=3,),3,0)</f>
        <v>0</v>
      </c>
      <c r="M158" s="410">
        <f>IF(OR(Калькуляция!$F158=6,),6,0)</f>
        <v>0</v>
      </c>
      <c r="N158" s="410">
        <f>IF(OR(Калькуляция!$F158=9,),9,0)</f>
        <v>0</v>
      </c>
      <c r="O158" s="410">
        <f>IF(OR(Калькуляция!$F158=3,Калькуляция!$F158=6,Калькуляция!$F158=9,),369,0)</f>
        <v>0</v>
      </c>
      <c r="P158" s="67">
        <f t="shared" si="35"/>
        <v>0</v>
      </c>
      <c r="Q158" s="68">
        <f t="shared" si="36"/>
        <v>0</v>
      </c>
    </row>
    <row r="159" spans="1:17" s="29" customFormat="1" ht="12.75">
      <c r="A159" s="331">
        <f t="shared" si="31"/>
        <v>141</v>
      </c>
      <c r="B159" s="39" t="s">
        <v>40</v>
      </c>
      <c r="C159" s="88" t="s">
        <v>41</v>
      </c>
      <c r="D159" s="89" t="s">
        <v>27</v>
      </c>
      <c r="E159" s="90"/>
      <c r="F159" s="91">
        <v>1</v>
      </c>
      <c r="G159" s="92">
        <v>620</v>
      </c>
      <c r="H159" s="138">
        <f t="shared" si="32"/>
        <v>682.0000000000001</v>
      </c>
      <c r="I159" s="71">
        <f t="shared" si="33"/>
        <v>618.3466666666667</v>
      </c>
      <c r="J159" s="62">
        <f t="shared" si="34"/>
        <v>47303.52000000001</v>
      </c>
      <c r="K159" s="307"/>
      <c r="L159" s="410">
        <f>IF(OR(Калькуляция!$F159=3,),3,0)</f>
        <v>0</v>
      </c>
      <c r="M159" s="410">
        <f>IF(OR(Калькуляция!$F159=6,),6,0)</f>
        <v>0</v>
      </c>
      <c r="N159" s="410">
        <f>IF(OR(Калькуляция!$F159=9,),9,0)</f>
        <v>0</v>
      </c>
      <c r="O159" s="410">
        <f>IF(OR(Калькуляция!$F159=3,Калькуляция!$F159=6,Калькуляция!$F159=9,),369,0)</f>
        <v>0</v>
      </c>
      <c r="P159" s="67">
        <f t="shared" si="35"/>
        <v>0</v>
      </c>
      <c r="Q159" s="68">
        <f t="shared" si="36"/>
        <v>0</v>
      </c>
    </row>
    <row r="160" spans="1:17" s="29" customFormat="1" ht="12.75">
      <c r="A160" s="331">
        <f t="shared" si="31"/>
        <v>142</v>
      </c>
      <c r="B160" s="39" t="s">
        <v>42</v>
      </c>
      <c r="C160" s="88" t="s">
        <v>254</v>
      </c>
      <c r="D160" s="89" t="s">
        <v>27</v>
      </c>
      <c r="E160" s="90"/>
      <c r="F160" s="91">
        <v>1</v>
      </c>
      <c r="G160" s="92">
        <v>340</v>
      </c>
      <c r="H160" s="138">
        <f t="shared" si="32"/>
        <v>374.00000000000006</v>
      </c>
      <c r="I160" s="71">
        <f t="shared" si="33"/>
        <v>339.09333333333336</v>
      </c>
      <c r="J160" s="62">
        <f t="shared" si="34"/>
        <v>25940.640000000003</v>
      </c>
      <c r="K160" s="307"/>
      <c r="L160" s="410">
        <f>IF(OR(Калькуляция!$F160=3,),3,0)</f>
        <v>0</v>
      </c>
      <c r="M160" s="410">
        <f>IF(OR(Калькуляция!$F160=6,),6,0)</f>
        <v>0</v>
      </c>
      <c r="N160" s="410">
        <f>IF(OR(Калькуляция!$F160=9,),9,0)</f>
        <v>0</v>
      </c>
      <c r="O160" s="410">
        <f>IF(OR(Калькуляция!$F160=3,Калькуляция!$F160=6,Калькуляция!$F160=9,),369,0)</f>
        <v>0</v>
      </c>
      <c r="P160" s="67">
        <f t="shared" si="35"/>
        <v>0</v>
      </c>
      <c r="Q160" s="68">
        <f t="shared" si="36"/>
        <v>0</v>
      </c>
    </row>
    <row r="161" spans="1:17" s="29" customFormat="1" ht="12.75">
      <c r="A161" s="331">
        <f t="shared" si="31"/>
        <v>143</v>
      </c>
      <c r="B161" s="39" t="s">
        <v>42</v>
      </c>
      <c r="C161" s="88" t="s">
        <v>255</v>
      </c>
      <c r="D161" s="89" t="s">
        <v>27</v>
      </c>
      <c r="E161" s="90"/>
      <c r="F161" s="91">
        <v>1</v>
      </c>
      <c r="G161" s="92">
        <v>320</v>
      </c>
      <c r="H161" s="138">
        <f t="shared" si="32"/>
        <v>352.00000000000006</v>
      </c>
      <c r="I161" s="71">
        <f t="shared" si="33"/>
        <v>319.1466666666667</v>
      </c>
      <c r="J161" s="62">
        <f t="shared" si="34"/>
        <v>24414.720000000005</v>
      </c>
      <c r="K161" s="307">
        <v>1</v>
      </c>
      <c r="L161" s="410">
        <f>IF(OR(Калькуляция!$F161=3,),3,0)</f>
        <v>0</v>
      </c>
      <c r="M161" s="410">
        <f>IF(OR(Калькуляция!$F161=6,),6,0)</f>
        <v>0</v>
      </c>
      <c r="N161" s="410">
        <f>IF(OR(Калькуляция!$F161=9,),9,0)</f>
        <v>0</v>
      </c>
      <c r="O161" s="410">
        <f>IF(OR(Калькуляция!$F161=3,Калькуляция!$F161=6,Калькуляция!$F161=9,),369,0)</f>
        <v>0</v>
      </c>
      <c r="P161" s="67">
        <f t="shared" si="35"/>
        <v>319.1466666666667</v>
      </c>
      <c r="Q161" s="68">
        <f t="shared" si="36"/>
        <v>24414.720000000005</v>
      </c>
    </row>
    <row r="162" spans="1:17" s="29" customFormat="1" ht="12.75">
      <c r="A162" s="332">
        <f t="shared" si="31"/>
        <v>144</v>
      </c>
      <c r="B162" s="187" t="s">
        <v>42</v>
      </c>
      <c r="C162" s="191" t="s">
        <v>256</v>
      </c>
      <c r="D162" s="195" t="s">
        <v>27</v>
      </c>
      <c r="E162" s="90"/>
      <c r="F162" s="91">
        <v>1</v>
      </c>
      <c r="G162" s="92">
        <v>400</v>
      </c>
      <c r="H162" s="138">
        <f t="shared" si="32"/>
        <v>440</v>
      </c>
      <c r="I162" s="71">
        <f t="shared" si="33"/>
        <v>398.93333333333334</v>
      </c>
      <c r="J162" s="62">
        <f t="shared" si="34"/>
        <v>30518.400000000005</v>
      </c>
      <c r="K162" s="307"/>
      <c r="L162" s="410">
        <f>IF(OR(Калькуляция!$F162=3,),3,0)</f>
        <v>0</v>
      </c>
      <c r="M162" s="410">
        <f>IF(OR(Калькуляция!$F162=6,),6,0)</f>
        <v>0</v>
      </c>
      <c r="N162" s="410">
        <f>IF(OR(Калькуляция!$F162=9,),9,0)</f>
        <v>0</v>
      </c>
      <c r="O162" s="410">
        <f>IF(OR(Калькуляция!$F162=3,Калькуляция!$F162=6,Калькуляция!$F162=9,),369,0)</f>
        <v>0</v>
      </c>
      <c r="P162" s="67">
        <f t="shared" si="35"/>
        <v>0</v>
      </c>
      <c r="Q162" s="68">
        <f t="shared" si="36"/>
        <v>0</v>
      </c>
    </row>
    <row r="163" spans="1:17" s="29" customFormat="1" ht="12.75">
      <c r="A163" s="332">
        <f t="shared" si="31"/>
        <v>145</v>
      </c>
      <c r="B163" s="188" t="s">
        <v>204</v>
      </c>
      <c r="C163" s="192" t="s">
        <v>257</v>
      </c>
      <c r="D163" s="196" t="s">
        <v>27</v>
      </c>
      <c r="E163" s="90"/>
      <c r="F163" s="91">
        <v>1</v>
      </c>
      <c r="G163" s="92">
        <v>540</v>
      </c>
      <c r="H163" s="138">
        <f t="shared" si="32"/>
        <v>594.0000000000001</v>
      </c>
      <c r="I163" s="71">
        <f t="shared" si="33"/>
        <v>538.5600000000001</v>
      </c>
      <c r="J163" s="62">
        <f t="shared" si="34"/>
        <v>41199.84000000001</v>
      </c>
      <c r="K163" s="307"/>
      <c r="L163" s="410">
        <f>IF(OR(Калькуляция!$F163=3,),3,0)</f>
        <v>0</v>
      </c>
      <c r="M163" s="410">
        <f>IF(OR(Калькуляция!$F163=6,),6,0)</f>
        <v>0</v>
      </c>
      <c r="N163" s="410">
        <f>IF(OR(Калькуляция!$F163=9,),9,0)</f>
        <v>0</v>
      </c>
      <c r="O163" s="410">
        <f>IF(OR(Калькуляция!$F163=3,Калькуляция!$F163=6,Калькуляция!$F163=9,),369,0)</f>
        <v>0</v>
      </c>
      <c r="P163" s="67">
        <f t="shared" si="35"/>
        <v>0</v>
      </c>
      <c r="Q163" s="68">
        <f t="shared" si="36"/>
        <v>0</v>
      </c>
    </row>
    <row r="164" spans="1:17" s="29" customFormat="1" ht="12.75">
      <c r="A164" s="331">
        <f t="shared" si="31"/>
        <v>146</v>
      </c>
      <c r="B164" s="39" t="s">
        <v>43</v>
      </c>
      <c r="C164" s="88" t="s">
        <v>44</v>
      </c>
      <c r="D164" s="89" t="s">
        <v>27</v>
      </c>
      <c r="E164" s="90">
        <v>7</v>
      </c>
      <c r="F164" s="91">
        <v>1</v>
      </c>
      <c r="G164" s="92">
        <v>0</v>
      </c>
      <c r="H164" s="138">
        <f t="shared" si="32"/>
        <v>8.49264705882353</v>
      </c>
      <c r="I164" s="71">
        <f t="shared" si="33"/>
        <v>7.700000000000001</v>
      </c>
      <c r="J164" s="62">
        <f t="shared" si="34"/>
        <v>589.0500000000002</v>
      </c>
      <c r="K164" s="307">
        <v>1</v>
      </c>
      <c r="L164" s="410">
        <f>IF(OR(Калькуляция!$F164=3,),3,0)</f>
        <v>0</v>
      </c>
      <c r="M164" s="410">
        <f>IF(OR(Калькуляция!$F164=6,),6,0)</f>
        <v>0</v>
      </c>
      <c r="N164" s="410">
        <f>IF(OR(Калькуляция!$F164=9,),9,0)</f>
        <v>0</v>
      </c>
      <c r="O164" s="410">
        <f>IF(OR(Калькуляция!$F164=3,Калькуляция!$F164=6,Калькуляция!$F164=9,),369,0)</f>
        <v>0</v>
      </c>
      <c r="P164" s="67">
        <f t="shared" si="35"/>
        <v>7.700000000000001</v>
      </c>
      <c r="Q164" s="68">
        <f t="shared" si="36"/>
        <v>589.0500000000002</v>
      </c>
    </row>
    <row r="165" spans="1:17" s="29" customFormat="1" ht="12.75">
      <c r="A165" s="332">
        <f t="shared" si="31"/>
        <v>147</v>
      </c>
      <c r="B165" s="182" t="s">
        <v>43</v>
      </c>
      <c r="C165" s="183" t="s">
        <v>205</v>
      </c>
      <c r="D165" s="194" t="s">
        <v>27</v>
      </c>
      <c r="E165" s="90">
        <v>11</v>
      </c>
      <c r="F165" s="91">
        <v>1</v>
      </c>
      <c r="G165" s="92">
        <v>0</v>
      </c>
      <c r="H165" s="138">
        <f t="shared" si="32"/>
        <v>13.34558823529412</v>
      </c>
      <c r="I165" s="71">
        <f t="shared" si="33"/>
        <v>12.100000000000001</v>
      </c>
      <c r="J165" s="62">
        <f t="shared" si="34"/>
        <v>925.6500000000001</v>
      </c>
      <c r="K165" s="307"/>
      <c r="L165" s="410">
        <f>IF(OR(Калькуляция!$F165=3,),3,0)</f>
        <v>0</v>
      </c>
      <c r="M165" s="410">
        <f>IF(OR(Калькуляция!$F165=6,),6,0)</f>
        <v>0</v>
      </c>
      <c r="N165" s="410">
        <f>IF(OR(Калькуляция!$F165=9,),9,0)</f>
        <v>0</v>
      </c>
      <c r="O165" s="410">
        <f>IF(OR(Калькуляция!$F165=3,Калькуляция!$F165=6,Калькуляция!$F165=9,),369,0)</f>
        <v>0</v>
      </c>
      <c r="P165" s="67">
        <f t="shared" si="35"/>
        <v>0</v>
      </c>
      <c r="Q165" s="68">
        <f t="shared" si="36"/>
        <v>0</v>
      </c>
    </row>
    <row r="166" spans="1:17" ht="12.75">
      <c r="A166" s="331">
        <f t="shared" si="31"/>
        <v>148</v>
      </c>
      <c r="B166" s="40" t="s">
        <v>28</v>
      </c>
      <c r="C166" s="93" t="s">
        <v>49</v>
      </c>
      <c r="D166" s="94" t="s">
        <v>30</v>
      </c>
      <c r="E166" s="95">
        <v>30</v>
      </c>
      <c r="F166" s="96">
        <v>2</v>
      </c>
      <c r="G166" s="97">
        <v>0</v>
      </c>
      <c r="H166" s="138">
        <f t="shared" si="32"/>
        <v>36.39705882352941</v>
      </c>
      <c r="I166" s="71">
        <f t="shared" si="33"/>
        <v>33</v>
      </c>
      <c r="J166" s="62">
        <f aca="true" t="shared" si="37" ref="J166:J174">PRODUCT(I166,1/$L$358,$L$357,1.02)</f>
        <v>2524.5</v>
      </c>
      <c r="K166" s="307">
        <v>1</v>
      </c>
      <c r="L166" s="410">
        <f>IF(OR(Калькуляция!$F166=3,),3,0)</f>
        <v>0</v>
      </c>
      <c r="M166" s="410">
        <f>IF(OR(Калькуляция!$F166=6,),6,0)</f>
        <v>0</v>
      </c>
      <c r="N166" s="410">
        <f>IF(OR(Калькуляция!$F166=9,),9,0)</f>
        <v>0</v>
      </c>
      <c r="O166" s="410">
        <f>IF(OR(Калькуляция!$F166=3,Калькуляция!$F166=6,Калькуляция!$F166=9,),369,0)</f>
        <v>0</v>
      </c>
      <c r="P166" s="80">
        <f t="shared" si="35"/>
        <v>33</v>
      </c>
      <c r="Q166" s="68">
        <f t="shared" si="36"/>
        <v>2524.5</v>
      </c>
    </row>
    <row r="167" spans="1:17" ht="12.75">
      <c r="A167" s="331">
        <f t="shared" si="31"/>
        <v>149</v>
      </c>
      <c r="B167" s="41" t="s">
        <v>423</v>
      </c>
      <c r="C167" s="93" t="s">
        <v>49</v>
      </c>
      <c r="D167" s="41" t="s">
        <v>36</v>
      </c>
      <c r="E167" s="95">
        <v>40</v>
      </c>
      <c r="F167" s="96">
        <v>3</v>
      </c>
      <c r="G167" s="97">
        <v>0</v>
      </c>
      <c r="H167" s="138">
        <f t="shared" si="32"/>
        <v>38.82352941176471</v>
      </c>
      <c r="I167" s="71">
        <f t="shared" si="33"/>
        <v>35.2</v>
      </c>
      <c r="J167" s="62">
        <f t="shared" si="37"/>
        <v>2692.8000000000006</v>
      </c>
      <c r="K167" s="307">
        <v>1</v>
      </c>
      <c r="L167" s="410">
        <f>IF(OR(Калькуляция!$F167=3,),3,0)</f>
        <v>3</v>
      </c>
      <c r="M167" s="410">
        <f>IF(OR(Калькуляция!$F167=6,),6,0)</f>
        <v>0</v>
      </c>
      <c r="N167" s="410">
        <f>IF(OR(Калькуляция!$F167=9,),9,0)</f>
        <v>0</v>
      </c>
      <c r="O167" s="410">
        <f>IF(OR(Калькуляция!$F167=3,Калькуляция!$F167=6,Калькуляция!$F167=9,),369,0)</f>
        <v>369</v>
      </c>
      <c r="P167" s="80">
        <f t="shared" si="35"/>
        <v>35.2</v>
      </c>
      <c r="Q167" s="68">
        <f t="shared" si="36"/>
        <v>2692.8000000000006</v>
      </c>
    </row>
    <row r="168" spans="1:17" s="30" customFormat="1" ht="24" customHeight="1">
      <c r="A168" s="335">
        <f t="shared" si="31"/>
        <v>150</v>
      </c>
      <c r="B168" s="462" t="s">
        <v>424</v>
      </c>
      <c r="C168" s="463"/>
      <c r="D168" s="57" t="s">
        <v>36</v>
      </c>
      <c r="E168" s="141">
        <v>15</v>
      </c>
      <c r="F168" s="142">
        <v>9</v>
      </c>
      <c r="G168" s="143">
        <v>0</v>
      </c>
      <c r="H168" s="138">
        <f t="shared" si="32"/>
        <v>14.558823529411766</v>
      </c>
      <c r="I168" s="71">
        <f t="shared" si="33"/>
        <v>13.200000000000001</v>
      </c>
      <c r="J168" s="62">
        <f t="shared" si="37"/>
        <v>1009.8000000000002</v>
      </c>
      <c r="K168" s="307">
        <v>1</v>
      </c>
      <c r="L168" s="410">
        <f>IF(OR(Калькуляция!$F168=3,),3,0)</f>
        <v>0</v>
      </c>
      <c r="M168" s="410">
        <f>IF(OR(Калькуляция!$F168=6,),6,0)</f>
        <v>0</v>
      </c>
      <c r="N168" s="410">
        <f>IF(OR(Калькуляция!$F168=9,),9,0)</f>
        <v>9</v>
      </c>
      <c r="O168" s="410">
        <f>IF(OR(Калькуляция!$F168=3,Калькуляция!$F168=6,Калькуляция!$F168=9,),369,0)</f>
        <v>369</v>
      </c>
      <c r="P168" s="144">
        <f t="shared" si="35"/>
        <v>13.200000000000001</v>
      </c>
      <c r="Q168" s="68">
        <f t="shared" si="36"/>
        <v>1009.8000000000002</v>
      </c>
    </row>
    <row r="169" spans="1:17" ht="12.75">
      <c r="A169" s="331">
        <f t="shared" si="31"/>
        <v>151</v>
      </c>
      <c r="B169" s="41" t="s">
        <v>414</v>
      </c>
      <c r="C169" s="93" t="s">
        <v>49</v>
      </c>
      <c r="D169" s="41" t="s">
        <v>36</v>
      </c>
      <c r="E169" s="95">
        <v>55</v>
      </c>
      <c r="F169" s="96">
        <v>6</v>
      </c>
      <c r="G169" s="97">
        <v>0</v>
      </c>
      <c r="H169" s="138">
        <f t="shared" si="32"/>
        <v>53.38235294117648</v>
      </c>
      <c r="I169" s="71">
        <f t="shared" si="33"/>
        <v>48.400000000000006</v>
      </c>
      <c r="J169" s="62">
        <f t="shared" si="37"/>
        <v>3702.6000000000004</v>
      </c>
      <c r="K169" s="307">
        <v>1</v>
      </c>
      <c r="L169" s="410">
        <f>IF(OR(Калькуляция!$F169=3,),3,0)</f>
        <v>0</v>
      </c>
      <c r="M169" s="410">
        <f>IF(OR(Калькуляция!$F169=6,),6,0)</f>
        <v>6</v>
      </c>
      <c r="N169" s="410">
        <f>IF(OR(Калькуляция!$F169=9,),9,0)</f>
        <v>0</v>
      </c>
      <c r="O169" s="410">
        <f>IF(OR(Калькуляция!$F169=3,Калькуляция!$F169=6,Калькуляция!$F169=9,),369,0)</f>
        <v>369</v>
      </c>
      <c r="P169" s="80">
        <f t="shared" si="35"/>
        <v>48.400000000000006</v>
      </c>
      <c r="Q169" s="68">
        <f t="shared" si="36"/>
        <v>3702.6000000000004</v>
      </c>
    </row>
    <row r="170" spans="1:17" s="29" customFormat="1" ht="12.75">
      <c r="A170" s="331">
        <f t="shared" si="31"/>
        <v>152</v>
      </c>
      <c r="B170" s="39" t="s">
        <v>229</v>
      </c>
      <c r="C170" s="227" t="s">
        <v>230</v>
      </c>
      <c r="D170" s="89" t="s">
        <v>27</v>
      </c>
      <c r="E170" s="90"/>
      <c r="F170" s="91">
        <v>1</v>
      </c>
      <c r="G170" s="92">
        <v>14</v>
      </c>
      <c r="H170" s="138">
        <f t="shared" si="32"/>
        <v>15.400000000000002</v>
      </c>
      <c r="I170" s="71">
        <f t="shared" si="33"/>
        <v>13.962666666666667</v>
      </c>
      <c r="J170" s="62">
        <f t="shared" si="37"/>
        <v>1068.144</v>
      </c>
      <c r="K170" s="307"/>
      <c r="L170" s="410">
        <f>IF(OR(Калькуляция!$F170=3,),3,0)</f>
        <v>0</v>
      </c>
      <c r="M170" s="410">
        <f>IF(OR(Калькуляция!$F170=6,),6,0)</f>
        <v>0</v>
      </c>
      <c r="N170" s="410">
        <f>IF(OR(Калькуляция!$F170=9,),9,0)</f>
        <v>0</v>
      </c>
      <c r="O170" s="410">
        <f>IF(OR(Калькуляция!$F170=3,Калькуляция!$F170=6,Калькуляция!$F170=9,),369,0)</f>
        <v>0</v>
      </c>
      <c r="P170" s="67">
        <f t="shared" si="35"/>
        <v>0</v>
      </c>
      <c r="Q170" s="68">
        <f t="shared" si="36"/>
        <v>0</v>
      </c>
    </row>
    <row r="171" spans="1:17" s="29" customFormat="1" ht="12.75">
      <c r="A171" s="331">
        <f t="shared" si="31"/>
        <v>153</v>
      </c>
      <c r="B171" s="39" t="s">
        <v>231</v>
      </c>
      <c r="C171" s="227" t="s">
        <v>230</v>
      </c>
      <c r="D171" s="89" t="s">
        <v>27</v>
      </c>
      <c r="E171" s="90"/>
      <c r="F171" s="91">
        <v>1</v>
      </c>
      <c r="G171" s="92">
        <v>4</v>
      </c>
      <c r="H171" s="138">
        <f t="shared" si="32"/>
        <v>4.4</v>
      </c>
      <c r="I171" s="71">
        <f t="shared" si="33"/>
        <v>3.9893333333333336</v>
      </c>
      <c r="J171" s="62">
        <f t="shared" si="37"/>
        <v>305.184</v>
      </c>
      <c r="K171" s="307"/>
      <c r="L171" s="410">
        <f>IF(OR(Калькуляция!$F171=3,),3,0)</f>
        <v>0</v>
      </c>
      <c r="M171" s="410">
        <f>IF(OR(Калькуляция!$F171=6,),6,0)</f>
        <v>0</v>
      </c>
      <c r="N171" s="410">
        <f>IF(OR(Калькуляция!$F171=9,),9,0)</f>
        <v>0</v>
      </c>
      <c r="O171" s="410">
        <f>IF(OR(Калькуляция!$F171=3,Калькуляция!$F171=6,Калькуляция!$F171=9,),369,0)</f>
        <v>0</v>
      </c>
      <c r="P171" s="67">
        <f t="shared" si="35"/>
        <v>0</v>
      </c>
      <c r="Q171" s="68">
        <f t="shared" si="36"/>
        <v>0</v>
      </c>
    </row>
    <row r="172" spans="1:17" s="236" customFormat="1" ht="12.75">
      <c r="A172" s="333">
        <f t="shared" si="31"/>
        <v>154</v>
      </c>
      <c r="B172" s="228" t="s">
        <v>226</v>
      </c>
      <c r="C172" s="229"/>
      <c r="D172" s="228" t="s">
        <v>36</v>
      </c>
      <c r="E172" s="230">
        <v>6</v>
      </c>
      <c r="F172" s="231">
        <v>6</v>
      </c>
      <c r="G172" s="232">
        <v>0</v>
      </c>
      <c r="H172" s="138">
        <f t="shared" si="32"/>
        <v>5.823529411764707</v>
      </c>
      <c r="I172" s="71">
        <f t="shared" si="33"/>
        <v>5.280000000000001</v>
      </c>
      <c r="J172" s="233">
        <f t="shared" si="37"/>
        <v>403.92000000000013</v>
      </c>
      <c r="K172" s="307"/>
      <c r="L172" s="410">
        <f>IF(OR(Калькуляция!$F172=3,),3,0)</f>
        <v>0</v>
      </c>
      <c r="M172" s="410">
        <f>IF(OR(Калькуляция!$F172=6,),6,0)</f>
        <v>6</v>
      </c>
      <c r="N172" s="410">
        <f>IF(OR(Калькуляция!$F172=9,),9,0)</f>
        <v>0</v>
      </c>
      <c r="O172" s="410">
        <f>IF(OR(Калькуляция!$F172=3,Калькуляция!$F172=6,Калькуляция!$F172=9,),369,0)</f>
        <v>369</v>
      </c>
      <c r="P172" s="234">
        <f t="shared" si="35"/>
        <v>0</v>
      </c>
      <c r="Q172" s="235">
        <f t="shared" si="36"/>
        <v>0</v>
      </c>
    </row>
    <row r="173" spans="1:17" s="236" customFormat="1" ht="12.75">
      <c r="A173" s="333">
        <f t="shared" si="31"/>
        <v>155</v>
      </c>
      <c r="B173" s="228" t="s">
        <v>227</v>
      </c>
      <c r="C173" s="229"/>
      <c r="D173" s="228" t="s">
        <v>36</v>
      </c>
      <c r="E173" s="230">
        <v>7</v>
      </c>
      <c r="F173" s="231">
        <v>3</v>
      </c>
      <c r="G173" s="232">
        <v>0</v>
      </c>
      <c r="H173" s="138">
        <f t="shared" si="32"/>
        <v>6.794117647058825</v>
      </c>
      <c r="I173" s="71">
        <f t="shared" si="33"/>
        <v>6.160000000000001</v>
      </c>
      <c r="J173" s="233">
        <f t="shared" si="37"/>
        <v>471.2400000000001</v>
      </c>
      <c r="K173" s="307"/>
      <c r="L173" s="410">
        <f>IF(OR(Калькуляция!$F173=3,),3,0)</f>
        <v>3</v>
      </c>
      <c r="M173" s="410">
        <f>IF(OR(Калькуляция!$F173=6,),6,0)</f>
        <v>0</v>
      </c>
      <c r="N173" s="410">
        <f>IF(OR(Калькуляция!$F173=9,),9,0)</f>
        <v>0</v>
      </c>
      <c r="O173" s="410">
        <f>IF(OR(Калькуляция!$F173=3,Калькуляция!$F173=6,Калькуляция!$F173=9,),369,0)</f>
        <v>369</v>
      </c>
      <c r="P173" s="234">
        <f t="shared" si="35"/>
        <v>0</v>
      </c>
      <c r="Q173" s="235">
        <f t="shared" si="36"/>
        <v>0</v>
      </c>
    </row>
    <row r="174" spans="1:17" s="236" customFormat="1" ht="12.75">
      <c r="A174" s="333">
        <f t="shared" si="31"/>
        <v>156</v>
      </c>
      <c r="B174" s="228" t="s">
        <v>228</v>
      </c>
      <c r="C174" s="229"/>
      <c r="D174" s="228" t="s">
        <v>36</v>
      </c>
      <c r="E174" s="230">
        <v>15</v>
      </c>
      <c r="F174" s="231">
        <v>3</v>
      </c>
      <c r="G174" s="232">
        <v>0</v>
      </c>
      <c r="H174" s="138">
        <f t="shared" si="32"/>
        <v>14.558823529411766</v>
      </c>
      <c r="I174" s="71">
        <f t="shared" si="33"/>
        <v>13.200000000000001</v>
      </c>
      <c r="J174" s="349">
        <f t="shared" si="37"/>
        <v>1009.8000000000002</v>
      </c>
      <c r="K174" s="307"/>
      <c r="L174" s="410">
        <f>IF(OR(Калькуляция!$F174=3,),3,0)</f>
        <v>3</v>
      </c>
      <c r="M174" s="410">
        <f>IF(OR(Калькуляция!$F174=6,),6,0)</f>
        <v>0</v>
      </c>
      <c r="N174" s="410">
        <f>IF(OR(Калькуляция!$F174=9,),9,0)</f>
        <v>0</v>
      </c>
      <c r="O174" s="410">
        <f>IF(OR(Калькуляция!$F174=3,Калькуляция!$F174=6,Калькуляция!$F174=9,),369,0)</f>
        <v>369</v>
      </c>
      <c r="P174" s="234">
        <f t="shared" si="35"/>
        <v>0</v>
      </c>
      <c r="Q174" s="235">
        <f t="shared" si="36"/>
        <v>0</v>
      </c>
    </row>
    <row r="175" spans="1:17" ht="21" customHeight="1">
      <c r="A175" s="500" t="s">
        <v>317</v>
      </c>
      <c r="B175" s="501"/>
      <c r="C175" s="501"/>
      <c r="D175" s="502"/>
      <c r="E175" s="501"/>
      <c r="F175" s="501"/>
      <c r="G175" s="501"/>
      <c r="H175" s="501"/>
      <c r="I175" s="501"/>
      <c r="J175" s="503"/>
      <c r="K175" s="385" t="str">
        <f>IF(Q175=0," ","Итого по разделу:")</f>
        <v>Итого по разделу:</v>
      </c>
      <c r="L175" s="410">
        <f>IF(OR(Калькуляция!$F175=3,),3,0)</f>
        <v>0</v>
      </c>
      <c r="M175" s="410">
        <f>IF(OR(Калькуляция!$F175=6,),6,0)</f>
        <v>0</v>
      </c>
      <c r="N175" s="410">
        <f>IF(OR(Калькуляция!$F175=9,),9,0)</f>
        <v>0</v>
      </c>
      <c r="O175" s="410">
        <f>IF(OR(Калькуляция!$F175=3,Калькуляция!$F175=6,Калькуляция!$F175=9,),369,0)</f>
        <v>0</v>
      </c>
      <c r="P175" s="311"/>
      <c r="Q175" s="310">
        <f>SUM(Q155:Q174)</f>
        <v>60874.110000000015</v>
      </c>
    </row>
    <row r="176" spans="1:17" ht="32.25" customHeight="1">
      <c r="A176" s="477" t="s">
        <v>375</v>
      </c>
      <c r="B176" s="475"/>
      <c r="C176" s="475"/>
      <c r="D176" s="478"/>
      <c r="E176" s="475"/>
      <c r="F176" s="475"/>
      <c r="G176" s="475"/>
      <c r="H176" s="475"/>
      <c r="I176" s="475"/>
      <c r="J176" s="482"/>
      <c r="K176" s="386" t="str">
        <f>IF(Q176=0," ",".")</f>
        <v>.</v>
      </c>
      <c r="L176" s="410">
        <f>IF(OR(Калькуляция!$F176=3,),3,0)</f>
        <v>0</v>
      </c>
      <c r="M176" s="410">
        <f>IF(OR(Калькуляция!$F176=6,),6,0)</f>
        <v>0</v>
      </c>
      <c r="N176" s="410">
        <f>IF(OR(Калькуляция!$F176=9,),9,0)</f>
        <v>0</v>
      </c>
      <c r="O176" s="410">
        <f>IF(OR(Калькуляция!$F176=3,Калькуляция!$F176=6,Калькуляция!$F176=9,),369,0)</f>
        <v>0</v>
      </c>
      <c r="P176" s="311"/>
      <c r="Q176" s="348" t="str">
        <f>IF(SUM(Q159:Q162)=0,0,".")</f>
        <v>.</v>
      </c>
    </row>
    <row r="177" spans="1:17" s="29" customFormat="1" ht="18.75" customHeight="1">
      <c r="A177" s="498" t="s">
        <v>301</v>
      </c>
      <c r="B177" s="499"/>
      <c r="C177" s="499"/>
      <c r="D177" s="499"/>
      <c r="E177" s="499"/>
      <c r="F177" s="499"/>
      <c r="G177" s="499"/>
      <c r="H177" s="499"/>
      <c r="I177" s="499"/>
      <c r="J177" s="499"/>
      <c r="K177" s="344" t="str">
        <f>IF(Q225=0," ","(Разд.06)")</f>
        <v>(Разд.06)</v>
      </c>
      <c r="L177" s="410">
        <f>IF(OR(Калькуляция!$F177=3,),3,0)</f>
        <v>0</v>
      </c>
      <c r="M177" s="410">
        <f>IF(OR(Калькуляция!$F177=6,),6,0)</f>
        <v>0</v>
      </c>
      <c r="N177" s="410">
        <f>IF(OR(Калькуляция!$F177=9,),9,0)</f>
        <v>0</v>
      </c>
      <c r="O177" s="410">
        <f>IF(OR(Калькуляция!$F177=3,Калькуляция!$F177=6,Калькуляция!$F177=9,),369,0)</f>
        <v>0</v>
      </c>
      <c r="P177" s="308"/>
      <c r="Q177" s="308"/>
    </row>
    <row r="178" spans="1:17" s="29" customFormat="1" ht="12.75">
      <c r="A178" s="329">
        <f aca="true" t="shared" si="38" ref="A178:A188">ROW()-18</f>
        <v>160</v>
      </c>
      <c r="B178" s="42" t="s">
        <v>292</v>
      </c>
      <c r="C178" s="98" t="s">
        <v>50</v>
      </c>
      <c r="D178" s="42" t="s">
        <v>27</v>
      </c>
      <c r="E178" s="99"/>
      <c r="F178" s="100">
        <v>1</v>
      </c>
      <c r="G178" s="101">
        <v>737.53</v>
      </c>
      <c r="H178" s="138">
        <f aca="true" t="shared" si="39" ref="H178:H224">I178/$L$358</f>
        <v>811.2830000000001</v>
      </c>
      <c r="I178" s="71">
        <f aca="true" t="shared" si="40" ref="I178:I224">$J$7*(E178+PRODUCT(G178,$L$358))*IF(OR(F178=1,F178=10),(100-$D$15)/100,IF(OR(F178=3,F178=6,F178=9),(100-$D$16)/100,IF(OR(F178=2,F178=4),(100-$D$17)/100,1)))</f>
        <v>735.5632533333334</v>
      </c>
      <c r="J178" s="62">
        <f aca="true" t="shared" si="41" ref="J178:J224">PRODUCT(I178,1/$L$358,$L$357,1.02)</f>
        <v>56270.58888000001</v>
      </c>
      <c r="K178" s="307"/>
      <c r="L178" s="410">
        <f>IF(OR(Калькуляция!$F178=3,),3,0)</f>
        <v>0</v>
      </c>
      <c r="M178" s="410">
        <f>IF(OR(Калькуляция!$F178=6,),6,0)</f>
        <v>0</v>
      </c>
      <c r="N178" s="410">
        <f>IF(OR(Калькуляция!$F178=9,),9,0)</f>
        <v>0</v>
      </c>
      <c r="O178" s="410">
        <f>IF(OR(Калькуляция!$F178=3,Калькуляция!$F178=6,Калькуляция!$F178=9,),369,0)</f>
        <v>0</v>
      </c>
      <c r="P178" s="67">
        <f aca="true" t="shared" si="42" ref="P178:P190">I178*K178</f>
        <v>0</v>
      </c>
      <c r="Q178" s="68">
        <f aca="true" t="shared" si="43" ref="Q178:Q224">J178*K178</f>
        <v>0</v>
      </c>
    </row>
    <row r="179" spans="1:17" s="29" customFormat="1" ht="12.75">
      <c r="A179" s="329">
        <f t="shared" si="38"/>
        <v>161</v>
      </c>
      <c r="B179" s="42" t="s">
        <v>292</v>
      </c>
      <c r="C179" s="98" t="s">
        <v>51</v>
      </c>
      <c r="D179" s="42" t="s">
        <v>27</v>
      </c>
      <c r="E179" s="99"/>
      <c r="F179" s="100">
        <v>1</v>
      </c>
      <c r="G179" s="101">
        <v>845.59</v>
      </c>
      <c r="H179" s="138">
        <f t="shared" si="39"/>
        <v>930.1490000000001</v>
      </c>
      <c r="I179" s="71">
        <f t="shared" si="40"/>
        <v>843.3350933333334</v>
      </c>
      <c r="J179" s="62">
        <f t="shared" si="41"/>
        <v>64515.134640000004</v>
      </c>
      <c r="K179" s="307"/>
      <c r="L179" s="410">
        <f>IF(OR(Калькуляция!$F179=3,),3,0)</f>
        <v>0</v>
      </c>
      <c r="M179" s="410">
        <f>IF(OR(Калькуляция!$F179=6,),6,0)</f>
        <v>0</v>
      </c>
      <c r="N179" s="410">
        <f>IF(OR(Калькуляция!$F179=9,),9,0)</f>
        <v>0</v>
      </c>
      <c r="O179" s="410">
        <f>IF(OR(Калькуляция!$F179=3,Калькуляция!$F179=6,Калькуляция!$F179=9,),369,0)</f>
        <v>0</v>
      </c>
      <c r="P179" s="67">
        <f t="shared" si="42"/>
        <v>0</v>
      </c>
      <c r="Q179" s="68">
        <f t="shared" si="43"/>
        <v>0</v>
      </c>
    </row>
    <row r="180" spans="1:17" s="29" customFormat="1" ht="12.75">
      <c r="A180" s="329">
        <f t="shared" si="38"/>
        <v>162</v>
      </c>
      <c r="B180" s="42" t="s">
        <v>292</v>
      </c>
      <c r="C180" s="98" t="s">
        <v>52</v>
      </c>
      <c r="D180" s="42" t="s">
        <v>27</v>
      </c>
      <c r="E180" s="99"/>
      <c r="F180" s="100">
        <v>1</v>
      </c>
      <c r="G180" s="101">
        <v>835.38</v>
      </c>
      <c r="H180" s="138">
        <f t="shared" si="39"/>
        <v>918.9180000000001</v>
      </c>
      <c r="I180" s="71">
        <f t="shared" si="40"/>
        <v>833.15232</v>
      </c>
      <c r="J180" s="62">
        <f t="shared" si="41"/>
        <v>63736.152480000004</v>
      </c>
      <c r="K180" s="307"/>
      <c r="L180" s="410">
        <f>IF(OR(Калькуляция!$F180=3,),3,0)</f>
        <v>0</v>
      </c>
      <c r="M180" s="410">
        <f>IF(OR(Калькуляция!$F180=6,),6,0)</f>
        <v>0</v>
      </c>
      <c r="N180" s="410">
        <f>IF(OR(Калькуляция!$F180=9,),9,0)</f>
        <v>0</v>
      </c>
      <c r="O180" s="410">
        <f>IF(OR(Калькуляция!$F180=3,Калькуляция!$F180=6,Калькуляция!$F180=9,),369,0)</f>
        <v>0</v>
      </c>
      <c r="P180" s="67">
        <f t="shared" si="42"/>
        <v>0</v>
      </c>
      <c r="Q180" s="68">
        <f t="shared" si="43"/>
        <v>0</v>
      </c>
    </row>
    <row r="181" spans="1:17" s="29" customFormat="1" ht="12.75">
      <c r="A181" s="329">
        <f t="shared" si="38"/>
        <v>163</v>
      </c>
      <c r="B181" s="42" t="s">
        <v>292</v>
      </c>
      <c r="C181" s="98" t="s">
        <v>53</v>
      </c>
      <c r="D181" s="42" t="s">
        <v>27</v>
      </c>
      <c r="E181" s="99"/>
      <c r="F181" s="100">
        <v>1</v>
      </c>
      <c r="G181" s="101">
        <v>919.3</v>
      </c>
      <c r="H181" s="138">
        <f t="shared" si="39"/>
        <v>1011.23</v>
      </c>
      <c r="I181" s="71">
        <f t="shared" si="40"/>
        <v>916.8485333333333</v>
      </c>
      <c r="J181" s="62">
        <f t="shared" si="41"/>
        <v>70138.9128</v>
      </c>
      <c r="K181" s="307"/>
      <c r="L181" s="410">
        <f>IF(OR(Калькуляция!$F181=3,),3,0)</f>
        <v>0</v>
      </c>
      <c r="M181" s="410">
        <f>IF(OR(Калькуляция!$F181=6,),6,0)</f>
        <v>0</v>
      </c>
      <c r="N181" s="410">
        <f>IF(OR(Калькуляция!$F181=9,),9,0)</f>
        <v>0</v>
      </c>
      <c r="O181" s="410">
        <f>IF(OR(Калькуляция!$F181=3,Калькуляция!$F181=6,Калькуляция!$F181=9,),369,0)</f>
        <v>0</v>
      </c>
      <c r="P181" s="67">
        <f t="shared" si="42"/>
        <v>0</v>
      </c>
      <c r="Q181" s="68">
        <f t="shared" si="43"/>
        <v>0</v>
      </c>
    </row>
    <row r="182" spans="1:17" s="29" customFormat="1" ht="12.75">
      <c r="A182" s="329">
        <f t="shared" si="38"/>
        <v>164</v>
      </c>
      <c r="B182" s="42" t="s">
        <v>292</v>
      </c>
      <c r="C182" s="98" t="s">
        <v>54</v>
      </c>
      <c r="D182" s="42" t="s">
        <v>27</v>
      </c>
      <c r="E182" s="99"/>
      <c r="F182" s="100">
        <v>1</v>
      </c>
      <c r="G182" s="101">
        <v>1085.17</v>
      </c>
      <c r="H182" s="138">
        <f t="shared" si="39"/>
        <v>1193.6870000000004</v>
      </c>
      <c r="I182" s="71">
        <f t="shared" si="40"/>
        <v>1082.2762133333335</v>
      </c>
      <c r="J182" s="62">
        <f t="shared" si="41"/>
        <v>82794.13032000003</v>
      </c>
      <c r="K182" s="307"/>
      <c r="L182" s="410">
        <f>IF(OR(Калькуляция!$F182=3,),3,0)</f>
        <v>0</v>
      </c>
      <c r="M182" s="410">
        <f>IF(OR(Калькуляция!$F182=6,),6,0)</f>
        <v>0</v>
      </c>
      <c r="N182" s="410">
        <f>IF(OR(Калькуляция!$F182=9,),9,0)</f>
        <v>0</v>
      </c>
      <c r="O182" s="410">
        <f>IF(OR(Калькуляция!$F182=3,Калькуляция!$F182=6,Калькуляция!$F182=9,),369,0)</f>
        <v>0</v>
      </c>
      <c r="P182" s="67">
        <f t="shared" si="42"/>
        <v>0</v>
      </c>
      <c r="Q182" s="68">
        <f t="shared" si="43"/>
        <v>0</v>
      </c>
    </row>
    <row r="183" spans="1:17" s="29" customFormat="1" ht="12.75">
      <c r="A183" s="329">
        <f t="shared" si="38"/>
        <v>165</v>
      </c>
      <c r="B183" s="42" t="s">
        <v>292</v>
      </c>
      <c r="C183" s="98" t="s">
        <v>55</v>
      </c>
      <c r="D183" s="42" t="s">
        <v>27</v>
      </c>
      <c r="E183" s="99"/>
      <c r="F183" s="100">
        <v>1</v>
      </c>
      <c r="G183" s="101">
        <v>1276.85</v>
      </c>
      <c r="H183" s="138">
        <f t="shared" si="39"/>
        <v>1404.5349999999999</v>
      </c>
      <c r="I183" s="71">
        <f t="shared" si="40"/>
        <v>1273.4450666666664</v>
      </c>
      <c r="J183" s="62">
        <f t="shared" si="41"/>
        <v>97418.54759999999</v>
      </c>
      <c r="K183" s="307"/>
      <c r="L183" s="410">
        <f>IF(OR(Калькуляция!$F183=3,),3,0)</f>
        <v>0</v>
      </c>
      <c r="M183" s="410">
        <f>IF(OR(Калькуляция!$F183=6,),6,0)</f>
        <v>0</v>
      </c>
      <c r="N183" s="410">
        <f>IF(OR(Калькуляция!$F183=9,),9,0)</f>
        <v>0</v>
      </c>
      <c r="O183" s="410">
        <f>IF(OR(Калькуляция!$F183=3,Калькуляция!$F183=6,Калькуляция!$F183=9,),369,0)</f>
        <v>0</v>
      </c>
      <c r="P183" s="67">
        <f t="shared" si="42"/>
        <v>0</v>
      </c>
      <c r="Q183" s="68">
        <f t="shared" si="43"/>
        <v>0</v>
      </c>
    </row>
    <row r="184" spans="1:17" s="29" customFormat="1" ht="12.75">
      <c r="A184" s="329">
        <f t="shared" si="38"/>
        <v>166</v>
      </c>
      <c r="B184" s="42" t="s">
        <v>292</v>
      </c>
      <c r="C184" s="98" t="s">
        <v>56</v>
      </c>
      <c r="D184" s="42" t="s">
        <v>27</v>
      </c>
      <c r="E184" s="99"/>
      <c r="F184" s="100">
        <v>1</v>
      </c>
      <c r="G184" s="101">
        <v>584.19</v>
      </c>
      <c r="H184" s="138">
        <f t="shared" si="39"/>
        <v>642.6090000000002</v>
      </c>
      <c r="I184" s="71">
        <f t="shared" si="40"/>
        <v>582.6321600000001</v>
      </c>
      <c r="J184" s="62">
        <f t="shared" si="41"/>
        <v>44571.36024000001</v>
      </c>
      <c r="K184" s="307"/>
      <c r="L184" s="410">
        <f>IF(OR(Калькуляция!$F184=3,),3,0)</f>
        <v>0</v>
      </c>
      <c r="M184" s="410">
        <f>IF(OR(Калькуляция!$F184=6,),6,0)</f>
        <v>0</v>
      </c>
      <c r="N184" s="410">
        <f>IF(OR(Калькуляция!$F184=9,),9,0)</f>
        <v>0</v>
      </c>
      <c r="O184" s="410">
        <f>IF(OR(Калькуляция!$F184=3,Калькуляция!$F184=6,Калькуляция!$F184=9,),369,0)</f>
        <v>0</v>
      </c>
      <c r="P184" s="67">
        <f t="shared" si="42"/>
        <v>0</v>
      </c>
      <c r="Q184" s="68">
        <f t="shared" si="43"/>
        <v>0</v>
      </c>
    </row>
    <row r="185" spans="1:17" s="29" customFormat="1" ht="12.75">
      <c r="A185" s="329">
        <f t="shared" si="38"/>
        <v>167</v>
      </c>
      <c r="B185" s="42" t="s">
        <v>292</v>
      </c>
      <c r="C185" s="98" t="s">
        <v>57</v>
      </c>
      <c r="D185" s="42" t="s">
        <v>27</v>
      </c>
      <c r="E185" s="99"/>
      <c r="F185" s="100">
        <v>1</v>
      </c>
      <c r="G185" s="101">
        <v>675.24</v>
      </c>
      <c r="H185" s="138">
        <f t="shared" si="39"/>
        <v>742.764</v>
      </c>
      <c r="I185" s="71">
        <f t="shared" si="40"/>
        <v>673.43936</v>
      </c>
      <c r="J185" s="62">
        <f t="shared" si="41"/>
        <v>51518.111039999996</v>
      </c>
      <c r="K185" s="307"/>
      <c r="L185" s="410">
        <f>IF(OR(Калькуляция!$F185=3,),3,0)</f>
        <v>0</v>
      </c>
      <c r="M185" s="410">
        <f>IF(OR(Калькуляция!$F185=6,),6,0)</f>
        <v>0</v>
      </c>
      <c r="N185" s="410">
        <f>IF(OR(Калькуляция!$F185=9,),9,0)</f>
        <v>0</v>
      </c>
      <c r="O185" s="410">
        <f>IF(OR(Калькуляция!$F185=3,Калькуляция!$F185=6,Калькуляция!$F185=9,),369,0)</f>
        <v>0</v>
      </c>
      <c r="P185" s="67">
        <f t="shared" si="42"/>
        <v>0</v>
      </c>
      <c r="Q185" s="68">
        <f t="shared" si="43"/>
        <v>0</v>
      </c>
    </row>
    <row r="186" spans="1:17" s="29" customFormat="1" ht="12.75">
      <c r="A186" s="329">
        <f t="shared" si="38"/>
        <v>168</v>
      </c>
      <c r="B186" s="42" t="s">
        <v>292</v>
      </c>
      <c r="C186" s="98" t="s">
        <v>58</v>
      </c>
      <c r="D186" s="42" t="s">
        <v>27</v>
      </c>
      <c r="E186" s="99"/>
      <c r="F186" s="100">
        <v>1</v>
      </c>
      <c r="G186" s="101">
        <v>690.88</v>
      </c>
      <c r="H186" s="138">
        <f t="shared" si="39"/>
        <v>759.9680000000002</v>
      </c>
      <c r="I186" s="71">
        <f t="shared" si="40"/>
        <v>689.0376533333334</v>
      </c>
      <c r="J186" s="62">
        <f t="shared" si="41"/>
        <v>52711.380480000014</v>
      </c>
      <c r="K186" s="307"/>
      <c r="L186" s="410">
        <f>IF(OR(Калькуляция!$F186=3,),3,0)</f>
        <v>0</v>
      </c>
      <c r="M186" s="410">
        <f>IF(OR(Калькуляция!$F186=6,),6,0)</f>
        <v>0</v>
      </c>
      <c r="N186" s="410">
        <f>IF(OR(Калькуляция!$F186=9,),9,0)</f>
        <v>0</v>
      </c>
      <c r="O186" s="410">
        <f>IF(OR(Калькуляция!$F186=3,Калькуляция!$F186=6,Калькуляция!$F186=9,),369,0)</f>
        <v>0</v>
      </c>
      <c r="P186" s="67">
        <f t="shared" si="42"/>
        <v>0</v>
      </c>
      <c r="Q186" s="68">
        <f t="shared" si="43"/>
        <v>0</v>
      </c>
    </row>
    <row r="187" spans="1:17" s="29" customFormat="1" ht="12.75">
      <c r="A187" s="329">
        <f t="shared" si="38"/>
        <v>169</v>
      </c>
      <c r="B187" s="42" t="s">
        <v>292</v>
      </c>
      <c r="C187" s="98" t="s">
        <v>59</v>
      </c>
      <c r="D187" s="42" t="s">
        <v>27</v>
      </c>
      <c r="E187" s="99"/>
      <c r="F187" s="100">
        <v>1</v>
      </c>
      <c r="G187" s="101">
        <v>741.45</v>
      </c>
      <c r="H187" s="138">
        <f t="shared" si="39"/>
        <v>815.5950000000001</v>
      </c>
      <c r="I187" s="71">
        <f t="shared" si="40"/>
        <v>739.4728000000001</v>
      </c>
      <c r="J187" s="62">
        <f t="shared" si="41"/>
        <v>56569.669200000004</v>
      </c>
      <c r="K187" s="307"/>
      <c r="L187" s="410">
        <f>IF(OR(Калькуляция!$F187=3,),3,0)</f>
        <v>0</v>
      </c>
      <c r="M187" s="410">
        <f>IF(OR(Калькуляция!$F187=6,),6,0)</f>
        <v>0</v>
      </c>
      <c r="N187" s="410">
        <f>IF(OR(Калькуляция!$F187=9,),9,0)</f>
        <v>0</v>
      </c>
      <c r="O187" s="410">
        <f>IF(OR(Калькуляция!$F187=3,Калькуляция!$F187=6,Калькуляция!$F187=9,),369,0)</f>
        <v>0</v>
      </c>
      <c r="P187" s="67">
        <f t="shared" si="42"/>
        <v>0</v>
      </c>
      <c r="Q187" s="68">
        <f t="shared" si="43"/>
        <v>0</v>
      </c>
    </row>
    <row r="188" spans="1:17" s="29" customFormat="1" ht="12.75">
      <c r="A188" s="329">
        <f t="shared" si="38"/>
        <v>170</v>
      </c>
      <c r="B188" s="42" t="s">
        <v>292</v>
      </c>
      <c r="C188" s="98" t="s">
        <v>60</v>
      </c>
      <c r="D188" s="42" t="s">
        <v>27</v>
      </c>
      <c r="E188" s="99"/>
      <c r="F188" s="100">
        <v>1</v>
      </c>
      <c r="G188" s="101">
        <v>880.53</v>
      </c>
      <c r="H188" s="138">
        <f t="shared" si="39"/>
        <v>968.5830000000001</v>
      </c>
      <c r="I188" s="71">
        <f t="shared" si="40"/>
        <v>878.18192</v>
      </c>
      <c r="J188" s="62">
        <f t="shared" si="41"/>
        <v>67180.91688</v>
      </c>
      <c r="K188" s="307">
        <v>1</v>
      </c>
      <c r="L188" s="410">
        <f>IF(OR(Калькуляция!$F188=3,),3,0)</f>
        <v>0</v>
      </c>
      <c r="M188" s="410">
        <f>IF(OR(Калькуляция!$F188=6,),6,0)</f>
        <v>0</v>
      </c>
      <c r="N188" s="410">
        <f>IF(OR(Калькуляция!$F188=9,),9,0)</f>
        <v>0</v>
      </c>
      <c r="O188" s="410">
        <f>IF(OR(Калькуляция!$F188=3,Калькуляция!$F188=6,Калькуляция!$F188=9,),369,0)</f>
        <v>0</v>
      </c>
      <c r="P188" s="67">
        <f t="shared" si="42"/>
        <v>878.18192</v>
      </c>
      <c r="Q188" s="68">
        <f t="shared" si="43"/>
        <v>67180.91688</v>
      </c>
    </row>
    <row r="189" spans="1:17" s="29" customFormat="1" ht="12.75">
      <c r="A189" s="329">
        <f aca="true" t="shared" si="44" ref="A189:A240">ROW()-18</f>
        <v>171</v>
      </c>
      <c r="B189" s="42" t="s">
        <v>292</v>
      </c>
      <c r="C189" s="98" t="s">
        <v>61</v>
      </c>
      <c r="D189" s="42" t="s">
        <v>27</v>
      </c>
      <c r="E189" s="99"/>
      <c r="F189" s="100">
        <v>1</v>
      </c>
      <c r="G189" s="101">
        <v>1022.5</v>
      </c>
      <c r="H189" s="138">
        <f t="shared" si="39"/>
        <v>1124.75</v>
      </c>
      <c r="I189" s="71">
        <f t="shared" si="40"/>
        <v>1019.7733333333333</v>
      </c>
      <c r="J189" s="62">
        <f t="shared" si="41"/>
        <v>78012.66</v>
      </c>
      <c r="K189" s="307"/>
      <c r="L189" s="410">
        <f>IF(OR(Калькуляция!$F189=3,),3,0)</f>
        <v>0</v>
      </c>
      <c r="M189" s="410">
        <f>IF(OR(Калькуляция!$F189=6,),6,0)</f>
        <v>0</v>
      </c>
      <c r="N189" s="410">
        <f>IF(OR(Калькуляция!$F189=9,),9,0)</f>
        <v>0</v>
      </c>
      <c r="O189" s="410">
        <f>IF(OR(Калькуляция!$F189=3,Калькуляция!$F189=6,Калькуляция!$F189=9,),369,0)</f>
        <v>0</v>
      </c>
      <c r="P189" s="67">
        <f t="shared" si="42"/>
        <v>0</v>
      </c>
      <c r="Q189" s="68">
        <f t="shared" si="43"/>
        <v>0</v>
      </c>
    </row>
    <row r="190" spans="1:17" s="29" customFormat="1" ht="12.75">
      <c r="A190" s="329">
        <f t="shared" si="44"/>
        <v>172</v>
      </c>
      <c r="B190" s="42" t="s">
        <v>292</v>
      </c>
      <c r="C190" s="98" t="s">
        <v>207</v>
      </c>
      <c r="D190" s="42" t="s">
        <v>27</v>
      </c>
      <c r="E190" s="99"/>
      <c r="F190" s="100">
        <v>1</v>
      </c>
      <c r="G190" s="101">
        <v>1950</v>
      </c>
      <c r="H190" s="138">
        <f t="shared" si="39"/>
        <v>2145.0000000000005</v>
      </c>
      <c r="I190" s="71">
        <f t="shared" si="40"/>
        <v>1944.8000000000002</v>
      </c>
      <c r="J190" s="62">
        <f t="shared" si="41"/>
        <v>148777.20000000004</v>
      </c>
      <c r="K190" s="307"/>
      <c r="L190" s="410">
        <f>IF(OR(Калькуляция!$F190=3,),3,0)</f>
        <v>0</v>
      </c>
      <c r="M190" s="410">
        <f>IF(OR(Калькуляция!$F190=6,),6,0)</f>
        <v>0</v>
      </c>
      <c r="N190" s="410">
        <f>IF(OR(Калькуляция!$F190=9,),9,0)</f>
        <v>0</v>
      </c>
      <c r="O190" s="410">
        <f>IF(OR(Калькуляция!$F190=3,Калькуляция!$F190=6,Калькуляция!$F190=9,),369,0)</f>
        <v>0</v>
      </c>
      <c r="P190" s="67">
        <f t="shared" si="42"/>
        <v>0</v>
      </c>
      <c r="Q190" s="68">
        <f t="shared" si="43"/>
        <v>0</v>
      </c>
    </row>
    <row r="191" spans="1:17" s="29" customFormat="1" ht="12.75">
      <c r="A191" s="329">
        <f t="shared" si="44"/>
        <v>173</v>
      </c>
      <c r="B191" s="42" t="s">
        <v>292</v>
      </c>
      <c r="C191" s="98" t="s">
        <v>62</v>
      </c>
      <c r="D191" s="42" t="s">
        <v>27</v>
      </c>
      <c r="E191" s="99">
        <v>425</v>
      </c>
      <c r="F191" s="100">
        <v>1</v>
      </c>
      <c r="G191" s="101">
        <v>840</v>
      </c>
      <c r="H191" s="138">
        <f t="shared" si="39"/>
        <v>1439.625</v>
      </c>
      <c r="I191" s="71">
        <f t="shared" si="40"/>
        <v>1305.26</v>
      </c>
      <c r="J191" s="62">
        <f t="shared" si="41"/>
        <v>99852.39</v>
      </c>
      <c r="K191" s="307"/>
      <c r="L191" s="410">
        <f>IF(OR(Калькуляция!$F191=3,),3,0)</f>
        <v>0</v>
      </c>
      <c r="M191" s="410">
        <f>IF(OR(Калькуляция!$F191=6,),6,0)</f>
        <v>0</v>
      </c>
      <c r="N191" s="410">
        <f>IF(OR(Калькуляция!$F191=9,),9,0)</f>
        <v>0</v>
      </c>
      <c r="O191" s="410">
        <f>IF(OR(Калькуляция!$F191=3,Калькуляция!$F191=6,Калькуляция!$F191=9,),369,0)</f>
        <v>0</v>
      </c>
      <c r="P191" s="67">
        <f aca="true" t="shared" si="45" ref="P191:P224">I191*K191</f>
        <v>0</v>
      </c>
      <c r="Q191" s="68">
        <f t="shared" si="43"/>
        <v>0</v>
      </c>
    </row>
    <row r="192" spans="1:17" s="29" customFormat="1" ht="12.75">
      <c r="A192" s="329">
        <f t="shared" si="44"/>
        <v>174</v>
      </c>
      <c r="B192" s="42" t="s">
        <v>292</v>
      </c>
      <c r="C192" s="98" t="s">
        <v>63</v>
      </c>
      <c r="D192" s="42" t="s">
        <v>27</v>
      </c>
      <c r="E192" s="99">
        <v>425</v>
      </c>
      <c r="F192" s="100">
        <v>1</v>
      </c>
      <c r="G192" s="101">
        <v>1029</v>
      </c>
      <c r="H192" s="138">
        <f t="shared" si="39"/>
        <v>1647.525</v>
      </c>
      <c r="I192" s="71">
        <f t="shared" si="40"/>
        <v>1493.756</v>
      </c>
      <c r="J192" s="62">
        <f t="shared" si="41"/>
        <v>114272.33400000003</v>
      </c>
      <c r="K192" s="307"/>
      <c r="L192" s="410">
        <f>IF(OR(Калькуляция!$F192=3,),3,0)</f>
        <v>0</v>
      </c>
      <c r="M192" s="410">
        <f>IF(OR(Калькуляция!$F192=6,),6,0)</f>
        <v>0</v>
      </c>
      <c r="N192" s="410">
        <f>IF(OR(Калькуляция!$F192=9,),9,0)</f>
        <v>0</v>
      </c>
      <c r="O192" s="410">
        <f>IF(OR(Калькуляция!$F192=3,Калькуляция!$F192=6,Калькуляция!$F192=9,),369,0)</f>
        <v>0</v>
      </c>
      <c r="P192" s="67">
        <f t="shared" si="45"/>
        <v>0</v>
      </c>
      <c r="Q192" s="68">
        <f t="shared" si="43"/>
        <v>0</v>
      </c>
    </row>
    <row r="193" spans="1:17" s="29" customFormat="1" ht="12.75">
      <c r="A193" s="329">
        <f t="shared" si="44"/>
        <v>175</v>
      </c>
      <c r="B193" s="42" t="s">
        <v>292</v>
      </c>
      <c r="C193" s="98" t="s">
        <v>64</v>
      </c>
      <c r="D193" s="42" t="s">
        <v>27</v>
      </c>
      <c r="E193" s="99">
        <v>425</v>
      </c>
      <c r="F193" s="100">
        <v>1</v>
      </c>
      <c r="G193" s="101">
        <v>1255</v>
      </c>
      <c r="H193" s="138">
        <f t="shared" si="39"/>
        <v>1896.1250000000002</v>
      </c>
      <c r="I193" s="71">
        <f t="shared" si="40"/>
        <v>1719.1533333333334</v>
      </c>
      <c r="J193" s="62">
        <f t="shared" si="41"/>
        <v>131515.23</v>
      </c>
      <c r="K193" s="307"/>
      <c r="L193" s="410">
        <f>IF(OR(Калькуляция!$F193=3,),3,0)</f>
        <v>0</v>
      </c>
      <c r="M193" s="410">
        <f>IF(OR(Калькуляция!$F193=6,),6,0)</f>
        <v>0</v>
      </c>
      <c r="N193" s="410">
        <f>IF(OR(Калькуляция!$F193=9,),9,0)</f>
        <v>0</v>
      </c>
      <c r="O193" s="410">
        <f>IF(OR(Калькуляция!$F193=3,Калькуляция!$F193=6,Калькуляция!$F193=9,),369,0)</f>
        <v>0</v>
      </c>
      <c r="P193" s="67">
        <f t="shared" si="45"/>
        <v>0</v>
      </c>
      <c r="Q193" s="68">
        <f t="shared" si="43"/>
        <v>0</v>
      </c>
    </row>
    <row r="194" spans="1:17" s="29" customFormat="1" ht="12.75">
      <c r="A194" s="329">
        <f t="shared" si="44"/>
        <v>176</v>
      </c>
      <c r="B194" s="42" t="s">
        <v>292</v>
      </c>
      <c r="C194" s="98" t="s">
        <v>65</v>
      </c>
      <c r="D194" s="42" t="s">
        <v>27</v>
      </c>
      <c r="E194" s="99">
        <v>455</v>
      </c>
      <c r="F194" s="100">
        <v>1</v>
      </c>
      <c r="G194" s="101">
        <v>1700</v>
      </c>
      <c r="H194" s="138">
        <f t="shared" si="39"/>
        <v>2422.0220588235297</v>
      </c>
      <c r="I194" s="71">
        <f t="shared" si="40"/>
        <v>2195.9666666666667</v>
      </c>
      <c r="J194" s="62">
        <f t="shared" si="41"/>
        <v>167991.45000000004</v>
      </c>
      <c r="K194" s="307"/>
      <c r="L194" s="410">
        <f>IF(OR(Калькуляция!$F194=3,),3,0)</f>
        <v>0</v>
      </c>
      <c r="M194" s="410">
        <f>IF(OR(Калькуляция!$F194=6,),6,0)</f>
        <v>0</v>
      </c>
      <c r="N194" s="410">
        <f>IF(OR(Калькуляция!$F194=9,),9,0)</f>
        <v>0</v>
      </c>
      <c r="O194" s="410">
        <f>IF(OR(Калькуляция!$F194=3,Калькуляция!$F194=6,Калькуляция!$F194=9,),369,0)</f>
        <v>0</v>
      </c>
      <c r="P194" s="67">
        <f t="shared" si="45"/>
        <v>0</v>
      </c>
      <c r="Q194" s="68">
        <f t="shared" si="43"/>
        <v>0</v>
      </c>
    </row>
    <row r="195" spans="1:17" s="29" customFormat="1" ht="12.75">
      <c r="A195" s="329">
        <f t="shared" si="44"/>
        <v>177</v>
      </c>
      <c r="B195" s="42" t="s">
        <v>292</v>
      </c>
      <c r="C195" s="98" t="s">
        <v>66</v>
      </c>
      <c r="D195" s="42" t="s">
        <v>27</v>
      </c>
      <c r="E195" s="99">
        <v>455</v>
      </c>
      <c r="F195" s="100">
        <v>1</v>
      </c>
      <c r="G195" s="101">
        <v>1980</v>
      </c>
      <c r="H195" s="138">
        <f t="shared" si="39"/>
        <v>2730.0220588235293</v>
      </c>
      <c r="I195" s="71">
        <f t="shared" si="40"/>
        <v>2475.22</v>
      </c>
      <c r="J195" s="62">
        <f t="shared" si="41"/>
        <v>189354.33000000002</v>
      </c>
      <c r="K195" s="307"/>
      <c r="L195" s="410">
        <f>IF(OR(Калькуляция!$F195=3,),3,0)</f>
        <v>0</v>
      </c>
      <c r="M195" s="410">
        <f>IF(OR(Калькуляция!$F195=6,),6,0)</f>
        <v>0</v>
      </c>
      <c r="N195" s="410">
        <f>IF(OR(Калькуляция!$F195=9,),9,0)</f>
        <v>0</v>
      </c>
      <c r="O195" s="410">
        <f>IF(OR(Калькуляция!$F195=3,Калькуляция!$F195=6,Калькуляция!$F195=9,),369,0)</f>
        <v>0</v>
      </c>
      <c r="P195" s="67">
        <f t="shared" si="45"/>
        <v>0</v>
      </c>
      <c r="Q195" s="68">
        <f t="shared" si="43"/>
        <v>0</v>
      </c>
    </row>
    <row r="196" spans="1:17" s="29" customFormat="1" ht="12.75">
      <c r="A196" s="329">
        <f t="shared" si="44"/>
        <v>178</v>
      </c>
      <c r="B196" s="42" t="s">
        <v>292</v>
      </c>
      <c r="C196" s="98" t="s">
        <v>67</v>
      </c>
      <c r="D196" s="42" t="s">
        <v>27</v>
      </c>
      <c r="E196" s="99">
        <v>500</v>
      </c>
      <c r="F196" s="100">
        <v>1</v>
      </c>
      <c r="G196" s="101">
        <v>3273</v>
      </c>
      <c r="H196" s="138">
        <f t="shared" si="39"/>
        <v>4206.9176470588245</v>
      </c>
      <c r="I196" s="71">
        <f t="shared" si="40"/>
        <v>3814.2720000000004</v>
      </c>
      <c r="J196" s="62">
        <f t="shared" si="41"/>
        <v>291791.8080000001</v>
      </c>
      <c r="K196" s="307"/>
      <c r="L196" s="410">
        <f>IF(OR(Калькуляция!$F196=3,),3,0)</f>
        <v>0</v>
      </c>
      <c r="M196" s="410">
        <f>IF(OR(Калькуляция!$F196=6,),6,0)</f>
        <v>0</v>
      </c>
      <c r="N196" s="410">
        <f>IF(OR(Калькуляция!$F196=9,),9,0)</f>
        <v>0</v>
      </c>
      <c r="O196" s="410">
        <f>IF(OR(Калькуляция!$F196=3,Калькуляция!$F196=6,Калькуляция!$F196=9,),369,0)</f>
        <v>0</v>
      </c>
      <c r="P196" s="67">
        <f t="shared" si="45"/>
        <v>0</v>
      </c>
      <c r="Q196" s="68">
        <f t="shared" si="43"/>
        <v>0</v>
      </c>
    </row>
    <row r="197" spans="1:17" s="29" customFormat="1" ht="12.75">
      <c r="A197" s="330">
        <f t="shared" si="44"/>
        <v>179</v>
      </c>
      <c r="B197" s="184" t="s">
        <v>200</v>
      </c>
      <c r="C197" s="184" t="s">
        <v>201</v>
      </c>
      <c r="D197" s="197" t="s">
        <v>27</v>
      </c>
      <c r="E197" s="99"/>
      <c r="F197" s="100">
        <v>1</v>
      </c>
      <c r="G197" s="101">
        <v>3106</v>
      </c>
      <c r="H197" s="138">
        <f t="shared" si="39"/>
        <v>3416.6000000000004</v>
      </c>
      <c r="I197" s="71">
        <f t="shared" si="40"/>
        <v>3097.7173333333335</v>
      </c>
      <c r="J197" s="62">
        <f t="shared" si="41"/>
        <v>236975.37600000002</v>
      </c>
      <c r="K197" s="307"/>
      <c r="L197" s="410">
        <f>IF(OR(Калькуляция!$F197=3,),3,0)</f>
        <v>0</v>
      </c>
      <c r="M197" s="410">
        <f>IF(OR(Калькуляция!$F197=6,),6,0)</f>
        <v>0</v>
      </c>
      <c r="N197" s="410">
        <f>IF(OR(Калькуляция!$F197=9,),9,0)</f>
        <v>0</v>
      </c>
      <c r="O197" s="410">
        <f>IF(OR(Калькуляция!$F197=3,Калькуляция!$F197=6,Калькуляция!$F197=9,),369,0)</f>
        <v>0</v>
      </c>
      <c r="P197" s="67">
        <f t="shared" si="45"/>
        <v>0</v>
      </c>
      <c r="Q197" s="68">
        <f t="shared" si="43"/>
        <v>0</v>
      </c>
    </row>
    <row r="198" spans="1:17" s="29" customFormat="1" ht="12.75">
      <c r="A198" s="329">
        <f t="shared" si="44"/>
        <v>180</v>
      </c>
      <c r="B198" s="42" t="s">
        <v>68</v>
      </c>
      <c r="C198" s="98" t="s">
        <v>69</v>
      </c>
      <c r="D198" s="42" t="s">
        <v>27</v>
      </c>
      <c r="E198" s="99"/>
      <c r="F198" s="100">
        <v>1</v>
      </c>
      <c r="G198" s="101">
        <v>970</v>
      </c>
      <c r="H198" s="138">
        <f t="shared" si="39"/>
        <v>1067</v>
      </c>
      <c r="I198" s="71">
        <f t="shared" si="40"/>
        <v>967.4133333333333</v>
      </c>
      <c r="J198" s="62">
        <f t="shared" si="41"/>
        <v>74007.12</v>
      </c>
      <c r="K198" s="307"/>
      <c r="L198" s="410">
        <f>IF(OR(Калькуляция!$F198=3,),3,0)</f>
        <v>0</v>
      </c>
      <c r="M198" s="410">
        <f>IF(OR(Калькуляция!$F198=6,),6,0)</f>
        <v>0</v>
      </c>
      <c r="N198" s="410">
        <f>IF(OR(Калькуляция!$F198=9,),9,0)</f>
        <v>0</v>
      </c>
      <c r="O198" s="410">
        <f>IF(OR(Калькуляция!$F198=3,Калькуляция!$F198=6,Калькуляция!$F198=9,),369,0)</f>
        <v>0</v>
      </c>
      <c r="P198" s="67">
        <f t="shared" si="45"/>
        <v>0</v>
      </c>
      <c r="Q198" s="68">
        <f t="shared" si="43"/>
        <v>0</v>
      </c>
    </row>
    <row r="199" spans="1:17" s="29" customFormat="1" ht="12.75">
      <c r="A199" s="329">
        <f t="shared" si="44"/>
        <v>181</v>
      </c>
      <c r="B199" s="42" t="s">
        <v>456</v>
      </c>
      <c r="C199" s="98" t="s">
        <v>89</v>
      </c>
      <c r="D199" s="42" t="s">
        <v>27</v>
      </c>
      <c r="E199" s="109"/>
      <c r="F199" s="110">
        <v>1</v>
      </c>
      <c r="G199" s="111">
        <v>54</v>
      </c>
      <c r="H199" s="138">
        <f t="shared" si="39"/>
        <v>59.40000000000001</v>
      </c>
      <c r="I199" s="71">
        <f t="shared" si="40"/>
        <v>53.85600000000001</v>
      </c>
      <c r="J199" s="62">
        <f t="shared" si="41"/>
        <v>4119.984</v>
      </c>
      <c r="K199" s="307"/>
      <c r="L199" s="410">
        <f>IF(OR(Калькуляция!$F199=3,),3,0)</f>
        <v>0</v>
      </c>
      <c r="M199" s="410">
        <f>IF(OR(Калькуляция!$F199=6,),6,0)</f>
        <v>0</v>
      </c>
      <c r="N199" s="410">
        <f>IF(OR(Калькуляция!$F199=9,),9,0)</f>
        <v>0</v>
      </c>
      <c r="O199" s="410">
        <f>IF(OR(Калькуляция!$F199=3,Калькуляция!$F199=6,Калькуляция!$F199=9,),369,0)</f>
        <v>0</v>
      </c>
      <c r="P199" s="67">
        <f t="shared" si="45"/>
        <v>0</v>
      </c>
      <c r="Q199" s="68">
        <f t="shared" si="43"/>
        <v>0</v>
      </c>
    </row>
    <row r="200" spans="1:17" s="29" customFormat="1" ht="12.75">
      <c r="A200" s="329">
        <f t="shared" si="44"/>
        <v>182</v>
      </c>
      <c r="B200" s="42" t="s">
        <v>293</v>
      </c>
      <c r="C200" s="98" t="s">
        <v>206</v>
      </c>
      <c r="D200" s="42" t="s">
        <v>27</v>
      </c>
      <c r="E200" s="99"/>
      <c r="F200" s="100">
        <v>1</v>
      </c>
      <c r="G200" s="101">
        <v>-250</v>
      </c>
      <c r="H200" s="138">
        <f t="shared" si="39"/>
        <v>-275</v>
      </c>
      <c r="I200" s="71">
        <f t="shared" si="40"/>
        <v>-249.33333333333334</v>
      </c>
      <c r="J200" s="62">
        <f t="shared" si="41"/>
        <v>-19074.000000000004</v>
      </c>
      <c r="K200" s="307"/>
      <c r="L200" s="410">
        <f>IF(OR(Калькуляция!$F200=3,),3,0)</f>
        <v>0</v>
      </c>
      <c r="M200" s="410">
        <f>IF(OR(Калькуляция!$F200=6,),6,0)</f>
        <v>0</v>
      </c>
      <c r="N200" s="410">
        <f>IF(OR(Калькуляция!$F200=9,),9,0)</f>
        <v>0</v>
      </c>
      <c r="O200" s="410">
        <f>IF(OR(Калькуляция!$F200=3,Калькуляция!$F200=6,Калькуляция!$F200=9,),369,0)</f>
        <v>0</v>
      </c>
      <c r="P200" s="67">
        <f t="shared" si="45"/>
        <v>0</v>
      </c>
      <c r="Q200" s="68">
        <f t="shared" si="43"/>
        <v>0</v>
      </c>
    </row>
    <row r="201" spans="1:17" s="29" customFormat="1" ht="12.75">
      <c r="A201" s="329">
        <f t="shared" si="44"/>
        <v>183</v>
      </c>
      <c r="B201" s="42" t="s">
        <v>293</v>
      </c>
      <c r="C201" s="98" t="s">
        <v>70</v>
      </c>
      <c r="D201" s="42" t="s">
        <v>27</v>
      </c>
      <c r="E201" s="99"/>
      <c r="F201" s="100">
        <v>1</v>
      </c>
      <c r="G201" s="101">
        <v>-7</v>
      </c>
      <c r="H201" s="138">
        <f t="shared" si="39"/>
        <v>-7.700000000000001</v>
      </c>
      <c r="I201" s="71">
        <f t="shared" si="40"/>
        <v>-6.981333333333334</v>
      </c>
      <c r="J201" s="62">
        <f t="shared" si="41"/>
        <v>-534.072</v>
      </c>
      <c r="K201" s="307"/>
      <c r="L201" s="410">
        <f>IF(OR(Калькуляция!$F201=3,),3,0)</f>
        <v>0</v>
      </c>
      <c r="M201" s="410">
        <f>IF(OR(Калькуляция!$F201=6,),6,0)</f>
        <v>0</v>
      </c>
      <c r="N201" s="410">
        <f>IF(OR(Калькуляция!$F201=9,),9,0)</f>
        <v>0</v>
      </c>
      <c r="O201" s="410">
        <f>IF(OR(Калькуляция!$F201=3,Калькуляция!$F201=6,Калькуляция!$F201=9,),369,0)</f>
        <v>0</v>
      </c>
      <c r="P201" s="67">
        <f t="shared" si="45"/>
        <v>0</v>
      </c>
      <c r="Q201" s="68">
        <f t="shared" si="43"/>
        <v>0</v>
      </c>
    </row>
    <row r="202" spans="1:17" s="29" customFormat="1" ht="12.75">
      <c r="A202" s="329">
        <f t="shared" si="44"/>
        <v>184</v>
      </c>
      <c r="B202" s="42" t="s">
        <v>293</v>
      </c>
      <c r="C202" s="98" t="s">
        <v>71</v>
      </c>
      <c r="D202" s="42" t="s">
        <v>27</v>
      </c>
      <c r="E202" s="99"/>
      <c r="F202" s="100">
        <v>1</v>
      </c>
      <c r="G202" s="101">
        <v>24</v>
      </c>
      <c r="H202" s="138">
        <f t="shared" si="39"/>
        <v>26.400000000000002</v>
      </c>
      <c r="I202" s="71">
        <f t="shared" si="40"/>
        <v>23.936</v>
      </c>
      <c r="J202" s="62">
        <f t="shared" si="41"/>
        <v>1831.104</v>
      </c>
      <c r="K202" s="307"/>
      <c r="L202" s="410">
        <f>IF(OR(Калькуляция!$F202=3,),3,0)</f>
        <v>0</v>
      </c>
      <c r="M202" s="410">
        <f>IF(OR(Калькуляция!$F202=6,),6,0)</f>
        <v>0</v>
      </c>
      <c r="N202" s="410">
        <f>IF(OR(Калькуляция!$F202=9,),9,0)</f>
        <v>0</v>
      </c>
      <c r="O202" s="410">
        <f>IF(OR(Калькуляция!$F202=3,Калькуляция!$F202=6,Калькуляция!$F202=9,),369,0)</f>
        <v>0</v>
      </c>
      <c r="P202" s="67">
        <f t="shared" si="45"/>
        <v>0</v>
      </c>
      <c r="Q202" s="68">
        <f t="shared" si="43"/>
        <v>0</v>
      </c>
    </row>
    <row r="203" spans="1:17" s="29" customFormat="1" ht="12.75">
      <c r="A203" s="329">
        <f t="shared" si="44"/>
        <v>185</v>
      </c>
      <c r="B203" s="42" t="s">
        <v>293</v>
      </c>
      <c r="C203" s="98" t="s">
        <v>72</v>
      </c>
      <c r="D203" s="42" t="s">
        <v>27</v>
      </c>
      <c r="E203" s="99"/>
      <c r="F203" s="100">
        <v>1</v>
      </c>
      <c r="G203" s="101">
        <v>140</v>
      </c>
      <c r="H203" s="138">
        <f t="shared" si="39"/>
        <v>154</v>
      </c>
      <c r="I203" s="71">
        <f t="shared" si="40"/>
        <v>139.62666666666667</v>
      </c>
      <c r="J203" s="62">
        <f t="shared" si="41"/>
        <v>10681.44</v>
      </c>
      <c r="K203" s="307"/>
      <c r="L203" s="410">
        <f>IF(OR(Калькуляция!$F203=3,),3,0)</f>
        <v>0</v>
      </c>
      <c r="M203" s="410">
        <f>IF(OR(Калькуляция!$F203=6,),6,0)</f>
        <v>0</v>
      </c>
      <c r="N203" s="410">
        <f>IF(OR(Калькуляция!$F203=9,),9,0)</f>
        <v>0</v>
      </c>
      <c r="O203" s="410">
        <f>IF(OR(Калькуляция!$F203=3,Калькуляция!$F203=6,Калькуляция!$F203=9,),369,0)</f>
        <v>0</v>
      </c>
      <c r="P203" s="67">
        <f t="shared" si="45"/>
        <v>0</v>
      </c>
      <c r="Q203" s="68">
        <f t="shared" si="43"/>
        <v>0</v>
      </c>
    </row>
    <row r="204" spans="1:17" s="29" customFormat="1" ht="12.75">
      <c r="A204" s="329">
        <f t="shared" si="44"/>
        <v>186</v>
      </c>
      <c r="B204" s="42" t="s">
        <v>293</v>
      </c>
      <c r="C204" s="98" t="s">
        <v>73</v>
      </c>
      <c r="D204" s="42" t="s">
        <v>27</v>
      </c>
      <c r="E204" s="99"/>
      <c r="F204" s="100">
        <v>1</v>
      </c>
      <c r="G204" s="101">
        <v>175</v>
      </c>
      <c r="H204" s="138">
        <f t="shared" si="39"/>
        <v>192.5</v>
      </c>
      <c r="I204" s="71">
        <f t="shared" si="40"/>
        <v>174.53333333333333</v>
      </c>
      <c r="J204" s="62">
        <f t="shared" si="41"/>
        <v>13351.800000000001</v>
      </c>
      <c r="K204" s="307"/>
      <c r="L204" s="410">
        <f>IF(OR(Калькуляция!$F204=3,),3,0)</f>
        <v>0</v>
      </c>
      <c r="M204" s="410">
        <f>IF(OR(Калькуляция!$F204=6,),6,0)</f>
        <v>0</v>
      </c>
      <c r="N204" s="410">
        <f>IF(OR(Калькуляция!$F204=9,),9,0)</f>
        <v>0</v>
      </c>
      <c r="O204" s="410">
        <f>IF(OR(Калькуляция!$F204=3,Калькуляция!$F204=6,Калькуляция!$F204=9,),369,0)</f>
        <v>0</v>
      </c>
      <c r="P204" s="67">
        <f t="shared" si="45"/>
        <v>0</v>
      </c>
      <c r="Q204" s="68">
        <f t="shared" si="43"/>
        <v>0</v>
      </c>
    </row>
    <row r="205" spans="1:17" s="29" customFormat="1" ht="12.75">
      <c r="A205" s="329">
        <f t="shared" si="44"/>
        <v>187</v>
      </c>
      <c r="B205" s="42" t="s">
        <v>293</v>
      </c>
      <c r="C205" s="98" t="s">
        <v>74</v>
      </c>
      <c r="D205" s="42" t="s">
        <v>27</v>
      </c>
      <c r="E205" s="99"/>
      <c r="F205" s="100">
        <v>1</v>
      </c>
      <c r="G205" s="101">
        <v>80</v>
      </c>
      <c r="H205" s="138">
        <f t="shared" si="39"/>
        <v>88.00000000000001</v>
      </c>
      <c r="I205" s="71">
        <f t="shared" si="40"/>
        <v>79.78666666666668</v>
      </c>
      <c r="J205" s="62">
        <f t="shared" si="41"/>
        <v>6103.680000000001</v>
      </c>
      <c r="K205" s="307"/>
      <c r="L205" s="410">
        <f>IF(OR(Калькуляция!$F205=3,),3,0)</f>
        <v>0</v>
      </c>
      <c r="M205" s="410">
        <f>IF(OR(Калькуляция!$F205=6,),6,0)</f>
        <v>0</v>
      </c>
      <c r="N205" s="410">
        <f>IF(OR(Калькуляция!$F205=9,),9,0)</f>
        <v>0</v>
      </c>
      <c r="O205" s="410">
        <f>IF(OR(Калькуляция!$F205=3,Калькуляция!$F205=6,Калькуляция!$F205=9,),369,0)</f>
        <v>0</v>
      </c>
      <c r="P205" s="67">
        <f t="shared" si="45"/>
        <v>0</v>
      </c>
      <c r="Q205" s="68">
        <f t="shared" si="43"/>
        <v>0</v>
      </c>
    </row>
    <row r="206" spans="1:17" s="29" customFormat="1" ht="12.75">
      <c r="A206" s="329">
        <f t="shared" si="44"/>
        <v>188</v>
      </c>
      <c r="B206" s="42" t="s">
        <v>293</v>
      </c>
      <c r="C206" s="98" t="s">
        <v>209</v>
      </c>
      <c r="D206" s="42" t="s">
        <v>27</v>
      </c>
      <c r="E206" s="99"/>
      <c r="F206" s="100">
        <v>1</v>
      </c>
      <c r="G206" s="101">
        <v>80</v>
      </c>
      <c r="H206" s="138">
        <f t="shared" si="39"/>
        <v>88.00000000000001</v>
      </c>
      <c r="I206" s="71">
        <f t="shared" si="40"/>
        <v>79.78666666666668</v>
      </c>
      <c r="J206" s="62">
        <f t="shared" si="41"/>
        <v>6103.680000000001</v>
      </c>
      <c r="K206" s="307"/>
      <c r="L206" s="410">
        <f>IF(OR(Калькуляция!$F206=3,),3,0)</f>
        <v>0</v>
      </c>
      <c r="M206" s="410">
        <f>IF(OR(Калькуляция!$F206=6,),6,0)</f>
        <v>0</v>
      </c>
      <c r="N206" s="410">
        <f>IF(OR(Калькуляция!$F206=9,),9,0)</f>
        <v>0</v>
      </c>
      <c r="O206" s="410">
        <f>IF(OR(Калькуляция!$F206=3,Калькуляция!$F206=6,Калькуляция!$F206=9,),369,0)</f>
        <v>0</v>
      </c>
      <c r="P206" s="67">
        <f t="shared" si="45"/>
        <v>0</v>
      </c>
      <c r="Q206" s="68">
        <f t="shared" si="43"/>
        <v>0</v>
      </c>
    </row>
    <row r="207" spans="1:17" s="29" customFormat="1" ht="12.75">
      <c r="A207" s="329">
        <f t="shared" si="44"/>
        <v>189</v>
      </c>
      <c r="B207" s="42" t="s">
        <v>293</v>
      </c>
      <c r="C207" s="98" t="s">
        <v>208</v>
      </c>
      <c r="D207" s="42" t="s">
        <v>27</v>
      </c>
      <c r="E207" s="99"/>
      <c r="F207" s="100">
        <v>1</v>
      </c>
      <c r="G207" s="101">
        <v>227</v>
      </c>
      <c r="H207" s="138">
        <f t="shared" si="39"/>
        <v>249.70000000000005</v>
      </c>
      <c r="I207" s="71">
        <f t="shared" si="40"/>
        <v>226.3946666666667</v>
      </c>
      <c r="J207" s="62">
        <f t="shared" si="41"/>
        <v>17319.192000000003</v>
      </c>
      <c r="K207" s="307"/>
      <c r="L207" s="410">
        <f>IF(OR(Калькуляция!$F207=3,),3,0)</f>
        <v>0</v>
      </c>
      <c r="M207" s="410">
        <f>IF(OR(Калькуляция!$F207=6,),6,0)</f>
        <v>0</v>
      </c>
      <c r="N207" s="410">
        <f>IF(OR(Калькуляция!$F207=9,),9,0)</f>
        <v>0</v>
      </c>
      <c r="O207" s="410">
        <f>IF(OR(Калькуляция!$F207=3,Калькуляция!$F207=6,Калькуляция!$F207=9,),369,0)</f>
        <v>0</v>
      </c>
      <c r="P207" s="67">
        <f t="shared" si="45"/>
        <v>0</v>
      </c>
      <c r="Q207" s="68">
        <f t="shared" si="43"/>
        <v>0</v>
      </c>
    </row>
    <row r="208" spans="1:17" ht="12.75">
      <c r="A208" s="329">
        <f t="shared" si="44"/>
        <v>190</v>
      </c>
      <c r="B208" s="43" t="s">
        <v>28</v>
      </c>
      <c r="C208" s="102" t="s">
        <v>75</v>
      </c>
      <c r="D208" s="44" t="s">
        <v>30</v>
      </c>
      <c r="E208" s="103">
        <v>80</v>
      </c>
      <c r="F208" s="104">
        <v>2</v>
      </c>
      <c r="G208" s="105">
        <v>0</v>
      </c>
      <c r="H208" s="138">
        <f t="shared" si="39"/>
        <v>97.05882352941177</v>
      </c>
      <c r="I208" s="71">
        <f t="shared" si="40"/>
        <v>88</v>
      </c>
      <c r="J208" s="62">
        <f t="shared" si="41"/>
        <v>6732</v>
      </c>
      <c r="K208" s="307">
        <v>1</v>
      </c>
      <c r="L208" s="410">
        <f>IF(OR(Калькуляция!$F208=3,),3,0)</f>
        <v>0</v>
      </c>
      <c r="M208" s="410">
        <f>IF(OR(Калькуляция!$F208=6,),6,0)</f>
        <v>0</v>
      </c>
      <c r="N208" s="410">
        <f>IF(OR(Калькуляция!$F208=9,),9,0)</f>
        <v>0</v>
      </c>
      <c r="O208" s="410">
        <f>IF(OR(Калькуляция!$F208=3,Калькуляция!$F208=6,Калькуляция!$F208=9,),369,0)</f>
        <v>0</v>
      </c>
      <c r="P208" s="80">
        <f t="shared" si="45"/>
        <v>88</v>
      </c>
      <c r="Q208" s="68">
        <f t="shared" si="43"/>
        <v>6732</v>
      </c>
    </row>
    <row r="209" spans="1:17" ht="12.75">
      <c r="A209" s="329">
        <f t="shared" si="44"/>
        <v>191</v>
      </c>
      <c r="B209" s="43" t="s">
        <v>76</v>
      </c>
      <c r="C209" s="102" t="s">
        <v>77</v>
      </c>
      <c r="D209" s="44" t="s">
        <v>78</v>
      </c>
      <c r="E209" s="103">
        <v>0.5</v>
      </c>
      <c r="F209" s="104">
        <v>3</v>
      </c>
      <c r="G209" s="105">
        <v>0</v>
      </c>
      <c r="H209" s="138">
        <f t="shared" si="39"/>
        <v>0.48529411764705893</v>
      </c>
      <c r="I209" s="71">
        <f t="shared" si="40"/>
        <v>0.44000000000000006</v>
      </c>
      <c r="J209" s="62">
        <f t="shared" si="41"/>
        <v>33.66000000000001</v>
      </c>
      <c r="K209" s="307">
        <v>100</v>
      </c>
      <c r="L209" s="410">
        <f>IF(OR(Калькуляция!$F209=3,),3,0)</f>
        <v>3</v>
      </c>
      <c r="M209" s="410">
        <f>IF(OR(Калькуляция!$F209=6,),6,0)</f>
        <v>0</v>
      </c>
      <c r="N209" s="410">
        <f>IF(OR(Калькуляция!$F209=9,),9,0)</f>
        <v>0</v>
      </c>
      <c r="O209" s="410">
        <f>IF(OR(Калькуляция!$F209=3,Калькуляция!$F209=6,Калькуляция!$F209=9,),369,0)</f>
        <v>369</v>
      </c>
      <c r="P209" s="80">
        <f t="shared" si="45"/>
        <v>44.00000000000001</v>
      </c>
      <c r="Q209" s="68">
        <f t="shared" si="43"/>
        <v>3366.000000000001</v>
      </c>
    </row>
    <row r="210" spans="1:17" ht="12.75">
      <c r="A210" s="329">
        <f t="shared" si="44"/>
        <v>192</v>
      </c>
      <c r="B210" s="44" t="s">
        <v>31</v>
      </c>
      <c r="C210" s="102" t="s">
        <v>75</v>
      </c>
      <c r="D210" s="44" t="s">
        <v>32</v>
      </c>
      <c r="E210" s="103">
        <v>40</v>
      </c>
      <c r="F210" s="104">
        <v>3</v>
      </c>
      <c r="G210" s="105">
        <v>0</v>
      </c>
      <c r="H210" s="138">
        <f t="shared" si="39"/>
        <v>38.82352941176471</v>
      </c>
      <c r="I210" s="71">
        <f t="shared" si="40"/>
        <v>35.2</v>
      </c>
      <c r="J210" s="62">
        <f t="shared" si="41"/>
        <v>2692.8000000000006</v>
      </c>
      <c r="K210" s="307">
        <v>1</v>
      </c>
      <c r="L210" s="410">
        <f>IF(OR(Калькуляция!$F210=3,),3,0)</f>
        <v>3</v>
      </c>
      <c r="M210" s="410">
        <f>IF(OR(Калькуляция!$F210=6,),6,0)</f>
        <v>0</v>
      </c>
      <c r="N210" s="410">
        <f>IF(OR(Калькуляция!$F210=9,),9,0)</f>
        <v>0</v>
      </c>
      <c r="O210" s="410">
        <f>IF(OR(Калькуляция!$F210=3,Калькуляция!$F210=6,Калькуляция!$F210=9,),369,0)</f>
        <v>369</v>
      </c>
      <c r="P210" s="80">
        <f t="shared" si="45"/>
        <v>35.2</v>
      </c>
      <c r="Q210" s="68">
        <f t="shared" si="43"/>
        <v>2692.8000000000006</v>
      </c>
    </row>
    <row r="211" spans="1:17" ht="12.75">
      <c r="A211" s="329">
        <f t="shared" si="44"/>
        <v>193</v>
      </c>
      <c r="B211" s="45" t="s">
        <v>79</v>
      </c>
      <c r="C211" s="45" t="s">
        <v>80</v>
      </c>
      <c r="D211" s="106" t="s">
        <v>32</v>
      </c>
      <c r="E211" s="103">
        <v>50</v>
      </c>
      <c r="F211" s="107">
        <v>6</v>
      </c>
      <c r="G211" s="105">
        <v>0</v>
      </c>
      <c r="H211" s="138">
        <f t="shared" si="39"/>
        <v>48.52941176470589</v>
      </c>
      <c r="I211" s="71">
        <f t="shared" si="40"/>
        <v>44.00000000000001</v>
      </c>
      <c r="J211" s="62">
        <f>PRODUCT(I211,1/$L$358,$L$357,1.02)</f>
        <v>3366.0000000000005</v>
      </c>
      <c r="K211" s="307">
        <v>1</v>
      </c>
      <c r="L211" s="410">
        <f>IF(OR(Калькуляция!$F211=3,),3,0)</f>
        <v>0</v>
      </c>
      <c r="M211" s="410">
        <f>IF(OR(Калькуляция!$F211=6,),6,0)</f>
        <v>6</v>
      </c>
      <c r="N211" s="410">
        <f>IF(OR(Калькуляция!$F211=9,),9,0)</f>
        <v>0</v>
      </c>
      <c r="O211" s="410">
        <f>IF(OR(Калькуляция!$F211=3,Калькуляция!$F211=6,Калькуляция!$F211=9,),369,0)</f>
        <v>369</v>
      </c>
      <c r="P211" s="80">
        <f t="shared" si="45"/>
        <v>44.00000000000001</v>
      </c>
      <c r="Q211" s="68">
        <f t="shared" si="43"/>
        <v>3366.0000000000005</v>
      </c>
    </row>
    <row r="212" spans="1:17" ht="12.75">
      <c r="A212" s="329">
        <f t="shared" si="44"/>
        <v>194</v>
      </c>
      <c r="B212" s="45" t="s">
        <v>81</v>
      </c>
      <c r="C212" s="45" t="s">
        <v>82</v>
      </c>
      <c r="D212" s="106" t="s">
        <v>32</v>
      </c>
      <c r="E212" s="103">
        <v>100</v>
      </c>
      <c r="F212" s="107">
        <v>6</v>
      </c>
      <c r="G212" s="105">
        <v>0</v>
      </c>
      <c r="H212" s="138">
        <f t="shared" si="39"/>
        <v>97.05882352941178</v>
      </c>
      <c r="I212" s="71">
        <f t="shared" si="40"/>
        <v>88.00000000000001</v>
      </c>
      <c r="J212" s="62">
        <f t="shared" si="41"/>
        <v>6732.000000000001</v>
      </c>
      <c r="K212" s="307"/>
      <c r="L212" s="410">
        <f>IF(OR(Калькуляция!$F212=3,),3,0)</f>
        <v>0</v>
      </c>
      <c r="M212" s="410">
        <f>IF(OR(Калькуляция!$F212=6,),6,0)</f>
        <v>6</v>
      </c>
      <c r="N212" s="410">
        <f>IF(OR(Калькуляция!$F212=9,),9,0)</f>
        <v>0</v>
      </c>
      <c r="O212" s="410">
        <f>IF(OR(Калькуляция!$F212=3,Калькуляция!$F212=6,Калькуляция!$F212=9,),369,0)</f>
        <v>369</v>
      </c>
      <c r="P212" s="80">
        <f t="shared" si="45"/>
        <v>0</v>
      </c>
      <c r="Q212" s="68">
        <f t="shared" si="43"/>
        <v>0</v>
      </c>
    </row>
    <row r="213" spans="1:17" s="236" customFormat="1" ht="12.75">
      <c r="A213" s="326">
        <f aca="true" t="shared" si="46" ref="A213:A224">ROW()-18</f>
        <v>195</v>
      </c>
      <c r="B213" s="226" t="s">
        <v>134</v>
      </c>
      <c r="C213" s="237" t="s">
        <v>137</v>
      </c>
      <c r="D213" s="238" t="s">
        <v>136</v>
      </c>
      <c r="E213" s="239">
        <v>1.5</v>
      </c>
      <c r="F213" s="240">
        <v>3</v>
      </c>
      <c r="G213" s="241">
        <v>0</v>
      </c>
      <c r="H213" s="138">
        <f t="shared" si="39"/>
        <v>1.4558823529411768</v>
      </c>
      <c r="I213" s="71">
        <f t="shared" si="40"/>
        <v>1.3200000000000003</v>
      </c>
      <c r="J213" s="233">
        <f t="shared" si="41"/>
        <v>100.98000000000003</v>
      </c>
      <c r="K213" s="307"/>
      <c r="L213" s="410">
        <f>IF(OR(Калькуляция!$F213=3,),3,0)</f>
        <v>3</v>
      </c>
      <c r="M213" s="410">
        <f>IF(OR(Калькуляция!$F213=6,),6,0)</f>
        <v>0</v>
      </c>
      <c r="N213" s="410">
        <f>IF(OR(Калькуляция!$F213=9,),9,0)</f>
        <v>0</v>
      </c>
      <c r="O213" s="410">
        <f>IF(OR(Калькуляция!$F213=3,Калькуляция!$F213=6,Калькуляция!$F213=9,),369,0)</f>
        <v>369</v>
      </c>
      <c r="P213" s="234">
        <f t="shared" si="45"/>
        <v>0</v>
      </c>
      <c r="Q213" s="235">
        <f t="shared" si="43"/>
        <v>0</v>
      </c>
    </row>
    <row r="214" spans="1:17" s="29" customFormat="1" ht="12.75">
      <c r="A214" s="319">
        <f t="shared" si="46"/>
        <v>196</v>
      </c>
      <c r="B214" s="52" t="s">
        <v>150</v>
      </c>
      <c r="C214" s="130" t="s">
        <v>149</v>
      </c>
      <c r="D214" s="131" t="s">
        <v>120</v>
      </c>
      <c r="E214" s="122"/>
      <c r="F214" s="123">
        <v>1</v>
      </c>
      <c r="G214" s="124">
        <v>120</v>
      </c>
      <c r="H214" s="138">
        <f t="shared" si="39"/>
        <v>132</v>
      </c>
      <c r="I214" s="71">
        <f t="shared" si="40"/>
        <v>119.68</v>
      </c>
      <c r="J214" s="62">
        <f t="shared" si="41"/>
        <v>9155.520000000002</v>
      </c>
      <c r="K214" s="307"/>
      <c r="L214" s="410">
        <f>IF(OR(Калькуляция!$F214=3,),3,0)</f>
        <v>0</v>
      </c>
      <c r="M214" s="410">
        <f>IF(OR(Калькуляция!$F214=6,),6,0)</f>
        <v>0</v>
      </c>
      <c r="N214" s="410">
        <f>IF(OR(Калькуляция!$F214=9,),9,0)</f>
        <v>0</v>
      </c>
      <c r="O214" s="410">
        <f>IF(OR(Калькуляция!$F214=3,Калькуляция!$F214=6,Калькуляция!$F214=9,),369,0)</f>
        <v>0</v>
      </c>
      <c r="P214" s="67">
        <f t="shared" si="45"/>
        <v>0</v>
      </c>
      <c r="Q214" s="68">
        <f t="shared" si="43"/>
        <v>0</v>
      </c>
    </row>
    <row r="215" spans="1:17" s="29" customFormat="1" ht="12.75">
      <c r="A215" s="328">
        <f t="shared" si="46"/>
        <v>197</v>
      </c>
      <c r="B215" s="189" t="s">
        <v>202</v>
      </c>
      <c r="C215" s="193" t="s">
        <v>149</v>
      </c>
      <c r="D215" s="189" t="s">
        <v>120</v>
      </c>
      <c r="E215" s="122"/>
      <c r="F215" s="123">
        <v>1</v>
      </c>
      <c r="G215" s="124">
        <v>50</v>
      </c>
      <c r="H215" s="138">
        <f t="shared" si="39"/>
        <v>55</v>
      </c>
      <c r="I215" s="71">
        <f t="shared" si="40"/>
        <v>49.86666666666667</v>
      </c>
      <c r="J215" s="62">
        <f t="shared" si="41"/>
        <v>3814.8000000000006</v>
      </c>
      <c r="K215" s="307"/>
      <c r="L215" s="410">
        <f>IF(OR(Калькуляция!$F215=3,),3,0)</f>
        <v>0</v>
      </c>
      <c r="M215" s="410">
        <f>IF(OR(Калькуляция!$F215=6,),6,0)</f>
        <v>0</v>
      </c>
      <c r="N215" s="410">
        <f>IF(OR(Калькуляция!$F215=9,),9,0)</f>
        <v>0</v>
      </c>
      <c r="O215" s="410">
        <f>IF(OR(Калькуляция!$F215=3,Калькуляция!$F215=6,Калькуляция!$F215=9,),369,0)</f>
        <v>0</v>
      </c>
      <c r="P215" s="67">
        <f t="shared" si="45"/>
        <v>0</v>
      </c>
      <c r="Q215" s="68">
        <f t="shared" si="43"/>
        <v>0</v>
      </c>
    </row>
    <row r="216" spans="1:17" s="29" customFormat="1" ht="12.75">
      <c r="A216" s="319">
        <f t="shared" si="46"/>
        <v>198</v>
      </c>
      <c r="B216" s="52" t="s">
        <v>212</v>
      </c>
      <c r="C216" s="130" t="s">
        <v>149</v>
      </c>
      <c r="D216" s="131" t="s">
        <v>120</v>
      </c>
      <c r="E216" s="122"/>
      <c r="F216" s="123">
        <v>1</v>
      </c>
      <c r="G216" s="124">
        <v>240</v>
      </c>
      <c r="H216" s="138">
        <f t="shared" si="39"/>
        <v>264</v>
      </c>
      <c r="I216" s="71">
        <f t="shared" si="40"/>
        <v>239.36</v>
      </c>
      <c r="J216" s="62">
        <f t="shared" si="41"/>
        <v>18311.040000000005</v>
      </c>
      <c r="K216" s="307"/>
      <c r="L216" s="410">
        <f>IF(OR(Калькуляция!$F216=3,),3,0)</f>
        <v>0</v>
      </c>
      <c r="M216" s="410">
        <f>IF(OR(Калькуляция!$F216=6,),6,0)</f>
        <v>0</v>
      </c>
      <c r="N216" s="410">
        <f>IF(OR(Калькуляция!$F216=9,),9,0)</f>
        <v>0</v>
      </c>
      <c r="O216" s="410">
        <f>IF(OR(Калькуляция!$F216=3,Калькуляция!$F216=6,Калькуляция!$F216=9,),369,0)</f>
        <v>0</v>
      </c>
      <c r="P216" s="67">
        <f t="shared" si="45"/>
        <v>0</v>
      </c>
      <c r="Q216" s="68">
        <f t="shared" si="43"/>
        <v>0</v>
      </c>
    </row>
    <row r="217" spans="1:17" s="29" customFormat="1" ht="12.75">
      <c r="A217" s="328">
        <f t="shared" si="46"/>
        <v>199</v>
      </c>
      <c r="B217" s="189" t="s">
        <v>430</v>
      </c>
      <c r="C217" s="193" t="s">
        <v>149</v>
      </c>
      <c r="D217" s="189" t="s">
        <v>120</v>
      </c>
      <c r="E217" s="122"/>
      <c r="F217" s="123">
        <v>1</v>
      </c>
      <c r="G217" s="124">
        <v>95</v>
      </c>
      <c r="H217" s="138">
        <f t="shared" si="39"/>
        <v>104.50000000000001</v>
      </c>
      <c r="I217" s="71">
        <f t="shared" si="40"/>
        <v>94.74666666666667</v>
      </c>
      <c r="J217" s="62">
        <f t="shared" si="41"/>
        <v>7248.120000000001</v>
      </c>
      <c r="K217" s="307"/>
      <c r="L217" s="410">
        <f>IF(OR(Калькуляция!$F217=3,),3,0)</f>
        <v>0</v>
      </c>
      <c r="M217" s="410">
        <f>IF(OR(Калькуляция!$F217=6,),6,0)</f>
        <v>0</v>
      </c>
      <c r="N217" s="410">
        <f>IF(OR(Калькуляция!$F217=9,),9,0)</f>
        <v>0</v>
      </c>
      <c r="O217" s="410">
        <f>IF(OR(Калькуляция!$F217=3,Калькуляция!$F217=6,Калькуляция!$F217=9,),369,0)</f>
        <v>0</v>
      </c>
      <c r="P217" s="67">
        <f>I217*K217</f>
        <v>0</v>
      </c>
      <c r="Q217" s="68">
        <f>J217*K217</f>
        <v>0</v>
      </c>
    </row>
    <row r="218" spans="1:17" s="29" customFormat="1" ht="12.75">
      <c r="A218" s="319">
        <f t="shared" si="46"/>
        <v>200</v>
      </c>
      <c r="B218" s="52" t="s">
        <v>431</v>
      </c>
      <c r="C218" s="130" t="s">
        <v>149</v>
      </c>
      <c r="D218" s="131" t="s">
        <v>120</v>
      </c>
      <c r="E218" s="122"/>
      <c r="F218" s="123">
        <v>1</v>
      </c>
      <c r="G218" s="124">
        <f>1.86*57</f>
        <v>106.02000000000001</v>
      </c>
      <c r="H218" s="138">
        <f t="shared" si="39"/>
        <v>116.62200000000001</v>
      </c>
      <c r="I218" s="71">
        <f t="shared" si="40"/>
        <v>105.73728000000001</v>
      </c>
      <c r="J218" s="62">
        <f t="shared" si="41"/>
        <v>8088.901920000002</v>
      </c>
      <c r="K218" s="307"/>
      <c r="L218" s="410">
        <f>IF(OR(Калькуляция!$F218=3,),3,0)</f>
        <v>0</v>
      </c>
      <c r="M218" s="410">
        <f>IF(OR(Калькуляция!$F218=6,),6,0)</f>
        <v>0</v>
      </c>
      <c r="N218" s="410">
        <f>IF(OR(Калькуляция!$F218=9,),9,0)</f>
        <v>0</v>
      </c>
      <c r="O218" s="410">
        <f>IF(OR(Калькуляция!$F218=3,Калькуляция!$F218=6,Калькуляция!$F218=9,),369,0)</f>
        <v>0</v>
      </c>
      <c r="P218" s="67">
        <f t="shared" si="45"/>
        <v>0</v>
      </c>
      <c r="Q218" s="68">
        <f t="shared" si="43"/>
        <v>0</v>
      </c>
    </row>
    <row r="219" spans="1:17" s="29" customFormat="1" ht="12.75">
      <c r="A219" s="319">
        <f t="shared" si="46"/>
        <v>201</v>
      </c>
      <c r="B219" s="52" t="s">
        <v>152</v>
      </c>
      <c r="C219" s="130" t="s">
        <v>149</v>
      </c>
      <c r="D219" s="131" t="s">
        <v>120</v>
      </c>
      <c r="E219" s="122"/>
      <c r="F219" s="123">
        <v>1</v>
      </c>
      <c r="G219" s="124">
        <v>55</v>
      </c>
      <c r="H219" s="138">
        <f t="shared" si="39"/>
        <v>60.50000000000001</v>
      </c>
      <c r="I219" s="71">
        <f t="shared" si="40"/>
        <v>54.85333333333334</v>
      </c>
      <c r="J219" s="62">
        <f t="shared" si="41"/>
        <v>4196.280000000001</v>
      </c>
      <c r="K219" s="307"/>
      <c r="L219" s="410">
        <f>IF(OR(Калькуляция!$F219=3,),3,0)</f>
        <v>0</v>
      </c>
      <c r="M219" s="410">
        <f>IF(OR(Калькуляция!$F219=6,),6,0)</f>
        <v>0</v>
      </c>
      <c r="N219" s="410">
        <f>IF(OR(Калькуляция!$F219=9,),9,0)</f>
        <v>0</v>
      </c>
      <c r="O219" s="410">
        <f>IF(OR(Калькуляция!$F219=3,Калькуляция!$F219=6,Калькуляция!$F219=9,),369,0)</f>
        <v>0</v>
      </c>
      <c r="P219" s="67">
        <f>I219*K219</f>
        <v>0</v>
      </c>
      <c r="Q219" s="68">
        <f>J219*K219</f>
        <v>0</v>
      </c>
    </row>
    <row r="220" spans="1:17" s="29" customFormat="1" ht="12.75">
      <c r="A220" s="319">
        <f t="shared" si="46"/>
        <v>202</v>
      </c>
      <c r="B220" s="52" t="s">
        <v>151</v>
      </c>
      <c r="C220" s="130" t="s">
        <v>149</v>
      </c>
      <c r="D220" s="131" t="s">
        <v>120</v>
      </c>
      <c r="E220" s="122"/>
      <c r="F220" s="123">
        <v>1</v>
      </c>
      <c r="G220" s="124">
        <v>160</v>
      </c>
      <c r="H220" s="138">
        <f t="shared" si="39"/>
        <v>176.00000000000003</v>
      </c>
      <c r="I220" s="71">
        <f t="shared" si="40"/>
        <v>159.57333333333335</v>
      </c>
      <c r="J220" s="62">
        <f t="shared" si="41"/>
        <v>12207.360000000002</v>
      </c>
      <c r="K220" s="307"/>
      <c r="L220" s="410">
        <f>IF(OR(Калькуляция!$F220=3,),3,0)</f>
        <v>0</v>
      </c>
      <c r="M220" s="410">
        <f>IF(OR(Калькуляция!$F220=6,),6,0)</f>
        <v>0</v>
      </c>
      <c r="N220" s="410">
        <f>IF(OR(Калькуляция!$F220=9,),9,0)</f>
        <v>0</v>
      </c>
      <c r="O220" s="410">
        <f>IF(OR(Калькуляция!$F220=3,Калькуляция!$F220=6,Калькуляция!$F220=9,),369,0)</f>
        <v>0</v>
      </c>
      <c r="P220" s="67">
        <f>I220*K220</f>
        <v>0</v>
      </c>
      <c r="Q220" s="68">
        <f>J220*K220</f>
        <v>0</v>
      </c>
    </row>
    <row r="221" spans="1:17" s="29" customFormat="1" ht="12.75">
      <c r="A221" s="319">
        <f t="shared" si="46"/>
        <v>203</v>
      </c>
      <c r="B221" s="52" t="s">
        <v>434</v>
      </c>
      <c r="C221" s="130" t="s">
        <v>149</v>
      </c>
      <c r="D221" s="131" t="s">
        <v>120</v>
      </c>
      <c r="E221" s="122"/>
      <c r="F221" s="123">
        <v>1</v>
      </c>
      <c r="G221" s="124">
        <v>40</v>
      </c>
      <c r="H221" s="138">
        <f t="shared" si="39"/>
        <v>44.00000000000001</v>
      </c>
      <c r="I221" s="71">
        <f t="shared" si="40"/>
        <v>39.89333333333334</v>
      </c>
      <c r="J221" s="62">
        <f t="shared" si="41"/>
        <v>3051.8400000000006</v>
      </c>
      <c r="K221" s="307"/>
      <c r="L221" s="410">
        <f>IF(OR(Калькуляция!$F221=3,),3,0)</f>
        <v>0</v>
      </c>
      <c r="M221" s="410">
        <f>IF(OR(Калькуляция!$F221=6,),6,0)</f>
        <v>0</v>
      </c>
      <c r="N221" s="410">
        <f>IF(OR(Калькуляция!$F221=9,),9,0)</f>
        <v>0</v>
      </c>
      <c r="O221" s="410">
        <f>IF(OR(Калькуляция!$F221=3,Калькуляция!$F221=6,Калькуляция!$F221=9,),369,0)</f>
        <v>0</v>
      </c>
      <c r="P221" s="67">
        <f>I221*K221</f>
        <v>0</v>
      </c>
      <c r="Q221" s="68">
        <f>J221*K221</f>
        <v>0</v>
      </c>
    </row>
    <row r="222" spans="1:17" s="29" customFormat="1" ht="12.75">
      <c r="A222" s="319">
        <f t="shared" si="46"/>
        <v>204</v>
      </c>
      <c r="B222" s="52" t="s">
        <v>435</v>
      </c>
      <c r="C222" s="130" t="s">
        <v>149</v>
      </c>
      <c r="D222" s="131" t="s">
        <v>120</v>
      </c>
      <c r="E222" s="122"/>
      <c r="F222" s="123">
        <v>1</v>
      </c>
      <c r="G222" s="124">
        <v>40</v>
      </c>
      <c r="H222" s="138">
        <f t="shared" si="39"/>
        <v>44.00000000000001</v>
      </c>
      <c r="I222" s="71">
        <f t="shared" si="40"/>
        <v>39.89333333333334</v>
      </c>
      <c r="J222" s="62">
        <f t="shared" si="41"/>
        <v>3051.8400000000006</v>
      </c>
      <c r="K222" s="307"/>
      <c r="L222" s="410">
        <f>IF(OR(Калькуляция!$F222=3,),3,0)</f>
        <v>0</v>
      </c>
      <c r="M222" s="410">
        <f>IF(OR(Калькуляция!$F222=6,),6,0)</f>
        <v>0</v>
      </c>
      <c r="N222" s="410">
        <f>IF(OR(Калькуляция!$F222=9,),9,0)</f>
        <v>0</v>
      </c>
      <c r="O222" s="410">
        <f>IF(OR(Калькуляция!$F222=3,Калькуляция!$F222=6,Калькуляция!$F222=9,),369,0)</f>
        <v>0</v>
      </c>
      <c r="P222" s="67">
        <f>I222*K222</f>
        <v>0</v>
      </c>
      <c r="Q222" s="68">
        <f>J222*K222</f>
        <v>0</v>
      </c>
    </row>
    <row r="223" spans="1:17" s="29" customFormat="1" ht="12.75">
      <c r="A223" s="381">
        <f t="shared" si="46"/>
        <v>205</v>
      </c>
      <c r="B223" s="382" t="s">
        <v>432</v>
      </c>
      <c r="C223" s="130" t="s">
        <v>149</v>
      </c>
      <c r="D223" s="382" t="s">
        <v>120</v>
      </c>
      <c r="E223" s="122"/>
      <c r="F223" s="123">
        <v>1</v>
      </c>
      <c r="G223" s="124">
        <v>25</v>
      </c>
      <c r="H223" s="138">
        <f t="shared" si="39"/>
        <v>27.5</v>
      </c>
      <c r="I223" s="71">
        <f t="shared" si="40"/>
        <v>24.933333333333334</v>
      </c>
      <c r="J223" s="384">
        <f t="shared" si="41"/>
        <v>1907.4000000000003</v>
      </c>
      <c r="K223" s="307"/>
      <c r="L223" s="410">
        <f>IF(OR(Калькуляция!$F223=3,),3,0)</f>
        <v>0</v>
      </c>
      <c r="M223" s="410">
        <f>IF(OR(Калькуляция!$F223=6,),6,0)</f>
        <v>0</v>
      </c>
      <c r="N223" s="410">
        <f>IF(OR(Калькуляция!$F223=9,),9,0)</f>
        <v>0</v>
      </c>
      <c r="O223" s="410">
        <f>IF(OR(Калькуляция!$F223=3,Калькуляция!$F223=6,Калькуляция!$F223=9,),369,0)</f>
        <v>0</v>
      </c>
      <c r="P223" s="203">
        <f>I223*K223</f>
        <v>0</v>
      </c>
      <c r="Q223" s="68">
        <f>J223*K223</f>
        <v>0</v>
      </c>
    </row>
    <row r="224" spans="1:17" s="29" customFormat="1" ht="12.75">
      <c r="A224" s="381">
        <f t="shared" si="46"/>
        <v>206</v>
      </c>
      <c r="B224" s="382" t="s">
        <v>433</v>
      </c>
      <c r="C224" s="383" t="s">
        <v>153</v>
      </c>
      <c r="D224" s="382" t="s">
        <v>120</v>
      </c>
      <c r="E224" s="122"/>
      <c r="F224" s="123">
        <v>1</v>
      </c>
      <c r="G224" s="124">
        <v>25</v>
      </c>
      <c r="H224" s="138">
        <f t="shared" si="39"/>
        <v>27.5</v>
      </c>
      <c r="I224" s="71">
        <f t="shared" si="40"/>
        <v>24.933333333333334</v>
      </c>
      <c r="J224" s="384">
        <f t="shared" si="41"/>
        <v>1907.4000000000003</v>
      </c>
      <c r="K224" s="307"/>
      <c r="L224" s="410">
        <f>IF(OR(Калькуляция!$F224=3,),3,0)</f>
        <v>0</v>
      </c>
      <c r="M224" s="410">
        <f>IF(OR(Калькуляция!$F224=6,),6,0)</f>
        <v>0</v>
      </c>
      <c r="N224" s="410">
        <f>IF(OR(Калькуляция!$F224=9,),9,0)</f>
        <v>0</v>
      </c>
      <c r="O224" s="410">
        <f>IF(OR(Калькуляция!$F224=3,Калькуляция!$F224=6,Калькуляция!$F224=9,),369,0)</f>
        <v>0</v>
      </c>
      <c r="P224" s="203">
        <f t="shared" si="45"/>
        <v>0</v>
      </c>
      <c r="Q224" s="68">
        <f t="shared" si="43"/>
        <v>0</v>
      </c>
    </row>
    <row r="225" spans="1:17" ht="32.25" customHeight="1">
      <c r="A225" s="479" t="s">
        <v>377</v>
      </c>
      <c r="B225" s="480"/>
      <c r="C225" s="480"/>
      <c r="D225" s="480"/>
      <c r="E225" s="480"/>
      <c r="F225" s="480"/>
      <c r="G225" s="480"/>
      <c r="H225" s="480"/>
      <c r="I225" s="480"/>
      <c r="J225" s="481"/>
      <c r="K225" s="385" t="str">
        <f>IF(Q225=0," ","Итого по разделу:")</f>
        <v>Итого по разделу:</v>
      </c>
      <c r="L225" s="410">
        <f>IF(OR(Калькуляция!$F225=3,),3,0)</f>
        <v>0</v>
      </c>
      <c r="M225" s="410">
        <f>IF(OR(Калькуляция!$F225=6,),6,0)</f>
        <v>0</v>
      </c>
      <c r="N225" s="410">
        <f>IF(OR(Калькуляция!$F225=9,),9,0)</f>
        <v>0</v>
      </c>
      <c r="O225" s="410">
        <f>IF(OR(Калькуляция!$F225=3,Калькуляция!$F225=6,Калькуляция!$F225=9,),369,0)</f>
        <v>0</v>
      </c>
      <c r="P225" s="311"/>
      <c r="Q225" s="310">
        <f>SUM(Q178:Q224)</f>
        <v>83337.71688</v>
      </c>
    </row>
    <row r="226" spans="1:17" ht="15.75" customHeight="1">
      <c r="A226" s="486" t="s">
        <v>376</v>
      </c>
      <c r="B226" s="487"/>
      <c r="C226" s="487"/>
      <c r="D226" s="487"/>
      <c r="E226" s="487"/>
      <c r="F226" s="487"/>
      <c r="G226" s="487"/>
      <c r="H226" s="487"/>
      <c r="I226" s="487"/>
      <c r="J226" s="505"/>
      <c r="K226" s="386" t="str">
        <f>IF(Q226=0," ",".")</f>
        <v> </v>
      </c>
      <c r="L226" s="410">
        <f>IF(OR(Калькуляция!$F226=3,),3,0)</f>
        <v>0</v>
      </c>
      <c r="M226" s="410">
        <f>IF(OR(Калькуляция!$F226=6,),6,0)</f>
        <v>0</v>
      </c>
      <c r="N226" s="410">
        <f>IF(OR(Калькуляция!$F226=9,),9,0)</f>
        <v>0</v>
      </c>
      <c r="O226" s="410">
        <f>IF(OR(Калькуляция!$F226=3,Калькуляция!$F226=6,Калькуляция!$F226=9,),369,0)</f>
        <v>0</v>
      </c>
      <c r="P226" s="311"/>
      <c r="Q226" s="348">
        <f>IF(SUM(Q178:Q183)=0,0,".")</f>
        <v>0</v>
      </c>
    </row>
    <row r="227" spans="1:17" ht="18.75" customHeight="1">
      <c r="A227" s="477" t="s">
        <v>1</v>
      </c>
      <c r="B227" s="475"/>
      <c r="C227" s="475"/>
      <c r="D227" s="475"/>
      <c r="E227" s="475"/>
      <c r="F227" s="475"/>
      <c r="G227" s="475"/>
      <c r="H227" s="475"/>
      <c r="I227" s="475"/>
      <c r="J227" s="478"/>
      <c r="K227" s="386" t="str">
        <f>IF(Q227=0," ",".")</f>
        <v> </v>
      </c>
      <c r="L227" s="410">
        <f>IF(OR(Калькуляция!$F227=3,),3,0)</f>
        <v>0</v>
      </c>
      <c r="M227" s="410">
        <f>IF(OR(Калькуляция!$F227=6,),6,0)</f>
        <v>0</v>
      </c>
      <c r="N227" s="410">
        <f>IF(OR(Калькуляция!$F227=9,),9,0)</f>
        <v>0</v>
      </c>
      <c r="O227" s="410">
        <f>IF(OR(Калькуляция!$F227=3,Калькуляция!$F227=6,Калькуляция!$F227=9,),369,0)</f>
        <v>0</v>
      </c>
      <c r="P227" s="311"/>
      <c r="Q227" s="348">
        <f>IF(SUM(Q178:Q183)=0,0,".")</f>
        <v>0</v>
      </c>
    </row>
    <row r="228" spans="1:17" s="29" customFormat="1" ht="18.75" customHeight="1">
      <c r="A228" s="498" t="s">
        <v>302</v>
      </c>
      <c r="B228" s="499"/>
      <c r="C228" s="499"/>
      <c r="D228" s="499"/>
      <c r="E228" s="499"/>
      <c r="F228" s="499"/>
      <c r="G228" s="499"/>
      <c r="H228" s="499"/>
      <c r="I228" s="499"/>
      <c r="J228" s="499"/>
      <c r="K228" s="344" t="str">
        <f>IF(Q264=0," ","(Разд.07)")</f>
        <v>(Разд.07)</v>
      </c>
      <c r="L228" s="410">
        <f>IF(OR(Калькуляция!$F228=3,),3,0)</f>
        <v>0</v>
      </c>
      <c r="M228" s="410">
        <f>IF(OR(Калькуляция!$F228=6,),6,0)</f>
        <v>0</v>
      </c>
      <c r="N228" s="410">
        <f>IF(OR(Калькуляция!$F228=9,),9,0)</f>
        <v>0</v>
      </c>
      <c r="O228" s="410">
        <f>IF(OR(Калькуляция!$F228=3,Калькуляция!$F228=6,Калькуляция!$F228=9,),369,0)</f>
        <v>0</v>
      </c>
      <c r="P228" s="308"/>
      <c r="Q228" s="308"/>
    </row>
    <row r="229" spans="1:17" s="29" customFormat="1" ht="12.75">
      <c r="A229" s="327">
        <f t="shared" si="44"/>
        <v>211</v>
      </c>
      <c r="B229" s="46" t="s">
        <v>294</v>
      </c>
      <c r="C229" s="108" t="s">
        <v>83</v>
      </c>
      <c r="D229" s="46" t="s">
        <v>36</v>
      </c>
      <c r="E229" s="109"/>
      <c r="F229" s="110">
        <v>1</v>
      </c>
      <c r="G229" s="111">
        <v>959</v>
      </c>
      <c r="H229" s="138">
        <f aca="true" t="shared" si="47" ref="H229:H263">I229/$L$358</f>
        <v>1054.9</v>
      </c>
      <c r="I229" s="71">
        <f aca="true" t="shared" si="48" ref="I229:I263">$J$7*(E229+PRODUCT(G229,$L$358))*IF(OR(F229=1,F229=10),(100-$D$15)/100,IF(OR(F229=3,F229=6,F229=9),(100-$D$16)/100,IF(OR(F229=2,F229=4),(100-$D$17)/100,1)))</f>
        <v>956.4426666666667</v>
      </c>
      <c r="J229" s="62">
        <f aca="true" t="shared" si="49" ref="J229:J263">PRODUCT(I229,1/$L$358,$L$357,1.02)</f>
        <v>73167.86400000002</v>
      </c>
      <c r="K229" s="307"/>
      <c r="L229" s="410">
        <f>IF(OR(Калькуляция!$F229=3,),3,0)</f>
        <v>0</v>
      </c>
      <c r="M229" s="410">
        <f>IF(OR(Калькуляция!$F229=6,),6,0)</f>
        <v>0</v>
      </c>
      <c r="N229" s="410">
        <f>IF(OR(Калькуляция!$F229=9,),9,0)</f>
        <v>0</v>
      </c>
      <c r="O229" s="410">
        <f>IF(OR(Калькуляция!$F229=3,Калькуляция!$F229=6,Калькуляция!$F229=9,),369,0)</f>
        <v>0</v>
      </c>
      <c r="P229" s="67">
        <f aca="true" t="shared" si="50" ref="P229:P263">I229*K229</f>
        <v>0</v>
      </c>
      <c r="Q229" s="68">
        <f aca="true" t="shared" si="51" ref="Q229:Q263">J229*K229</f>
        <v>0</v>
      </c>
    </row>
    <row r="230" spans="1:17" s="29" customFormat="1" ht="12.75">
      <c r="A230" s="327">
        <f t="shared" si="44"/>
        <v>212</v>
      </c>
      <c r="B230" s="46" t="s">
        <v>294</v>
      </c>
      <c r="C230" s="108" t="s">
        <v>84</v>
      </c>
      <c r="D230" s="46" t="s">
        <v>27</v>
      </c>
      <c r="E230" s="109"/>
      <c r="F230" s="110">
        <v>1</v>
      </c>
      <c r="G230" s="111">
        <v>759.49</v>
      </c>
      <c r="H230" s="138">
        <f t="shared" si="47"/>
        <v>835.4390000000001</v>
      </c>
      <c r="I230" s="71">
        <f t="shared" si="48"/>
        <v>757.4646933333333</v>
      </c>
      <c r="J230" s="62">
        <f t="shared" si="49"/>
        <v>57946.049040000005</v>
      </c>
      <c r="K230" s="307"/>
      <c r="L230" s="410">
        <f>IF(OR(Калькуляция!$F230=3,),3,0)</f>
        <v>0</v>
      </c>
      <c r="M230" s="410">
        <f>IF(OR(Калькуляция!$F230=6,),6,0)</f>
        <v>0</v>
      </c>
      <c r="N230" s="410">
        <f>IF(OR(Калькуляция!$F230=9,),9,0)</f>
        <v>0</v>
      </c>
      <c r="O230" s="410">
        <f>IF(OR(Калькуляция!$F230=3,Калькуляция!$F230=6,Калькуляция!$F230=9,),369,0)</f>
        <v>0</v>
      </c>
      <c r="P230" s="67">
        <f t="shared" si="50"/>
        <v>0</v>
      </c>
      <c r="Q230" s="68">
        <f t="shared" si="51"/>
        <v>0</v>
      </c>
    </row>
    <row r="231" spans="1:17" s="29" customFormat="1" ht="12.75">
      <c r="A231" s="327">
        <f t="shared" si="44"/>
        <v>213</v>
      </c>
      <c r="B231" s="46" t="s">
        <v>294</v>
      </c>
      <c r="C231" s="108" t="s">
        <v>85</v>
      </c>
      <c r="D231" s="46" t="s">
        <v>27</v>
      </c>
      <c r="E231" s="109"/>
      <c r="F231" s="110">
        <v>1</v>
      </c>
      <c r="G231" s="111">
        <v>822.45</v>
      </c>
      <c r="H231" s="138">
        <f t="shared" si="47"/>
        <v>904.695</v>
      </c>
      <c r="I231" s="71">
        <f t="shared" si="48"/>
        <v>820.2568</v>
      </c>
      <c r="J231" s="62">
        <f t="shared" si="49"/>
        <v>62749.645200000006</v>
      </c>
      <c r="K231" s="307">
        <v>1</v>
      </c>
      <c r="L231" s="410">
        <f>IF(OR(Калькуляция!$F231=3,),3,0)</f>
        <v>0</v>
      </c>
      <c r="M231" s="410">
        <f>IF(OR(Калькуляция!$F231=6,),6,0)</f>
        <v>0</v>
      </c>
      <c r="N231" s="410">
        <f>IF(OR(Калькуляция!$F231=9,),9,0)</f>
        <v>0</v>
      </c>
      <c r="O231" s="410">
        <f>IF(OR(Калькуляция!$F231=3,Калькуляция!$F231=6,Калькуляция!$F231=9,),369,0)</f>
        <v>0</v>
      </c>
      <c r="P231" s="67">
        <f t="shared" si="50"/>
        <v>820.2568</v>
      </c>
      <c r="Q231" s="68">
        <f t="shared" si="51"/>
        <v>62749.645200000006</v>
      </c>
    </row>
    <row r="232" spans="1:17" s="29" customFormat="1" ht="12.75">
      <c r="A232" s="327">
        <f t="shared" si="44"/>
        <v>214</v>
      </c>
      <c r="B232" s="46" t="s">
        <v>294</v>
      </c>
      <c r="C232" s="108" t="s">
        <v>86</v>
      </c>
      <c r="D232" s="46" t="s">
        <v>27</v>
      </c>
      <c r="E232" s="109"/>
      <c r="F232" s="110">
        <v>1</v>
      </c>
      <c r="G232" s="111">
        <v>942.65</v>
      </c>
      <c r="H232" s="138">
        <f t="shared" si="47"/>
        <v>1036.915</v>
      </c>
      <c r="I232" s="71">
        <f t="shared" si="48"/>
        <v>940.1362666666666</v>
      </c>
      <c r="J232" s="62">
        <f t="shared" si="49"/>
        <v>71920.4244</v>
      </c>
      <c r="K232" s="307"/>
      <c r="L232" s="410">
        <f>IF(OR(Калькуляция!$F232=3,),3,0)</f>
        <v>0</v>
      </c>
      <c r="M232" s="410">
        <f>IF(OR(Калькуляция!$F232=6,),6,0)</f>
        <v>0</v>
      </c>
      <c r="N232" s="410">
        <f>IF(OR(Калькуляция!$F232=9,),9,0)</f>
        <v>0</v>
      </c>
      <c r="O232" s="410">
        <f>IF(OR(Калькуляция!$F232=3,Калькуляция!$F232=6,Калькуляция!$F232=9,),369,0)</f>
        <v>0</v>
      </c>
      <c r="P232" s="67">
        <f t="shared" si="50"/>
        <v>0</v>
      </c>
      <c r="Q232" s="68">
        <f t="shared" si="51"/>
        <v>0</v>
      </c>
    </row>
    <row r="233" spans="1:17" s="29" customFormat="1" ht="12.75">
      <c r="A233" s="327">
        <f t="shared" si="44"/>
        <v>215</v>
      </c>
      <c r="B233" s="46" t="s">
        <v>294</v>
      </c>
      <c r="C233" s="108" t="s">
        <v>87</v>
      </c>
      <c r="D233" s="46" t="s">
        <v>27</v>
      </c>
      <c r="E233" s="109"/>
      <c r="F233" s="110">
        <v>1</v>
      </c>
      <c r="G233" s="111">
        <v>920.77</v>
      </c>
      <c r="H233" s="138">
        <f t="shared" si="47"/>
        <v>1012.8470000000001</v>
      </c>
      <c r="I233" s="71">
        <f t="shared" si="48"/>
        <v>918.3146133333333</v>
      </c>
      <c r="J233" s="62">
        <f t="shared" si="49"/>
        <v>70251.06792</v>
      </c>
      <c r="K233" s="307"/>
      <c r="L233" s="410">
        <f>IF(OR(Калькуляция!$F233=3,),3,0)</f>
        <v>0</v>
      </c>
      <c r="M233" s="410">
        <f>IF(OR(Калькуляция!$F233=6,),6,0)</f>
        <v>0</v>
      </c>
      <c r="N233" s="410">
        <f>IF(OR(Калькуляция!$F233=9,),9,0)</f>
        <v>0</v>
      </c>
      <c r="O233" s="410">
        <f>IF(OR(Калькуляция!$F233=3,Калькуляция!$F233=6,Калькуляция!$F233=9,),369,0)</f>
        <v>0</v>
      </c>
      <c r="P233" s="67">
        <f t="shared" si="50"/>
        <v>0</v>
      </c>
      <c r="Q233" s="68">
        <f t="shared" si="51"/>
        <v>0</v>
      </c>
    </row>
    <row r="234" spans="1:17" s="29" customFormat="1" ht="12.75">
      <c r="A234" s="327">
        <f t="shared" si="44"/>
        <v>216</v>
      </c>
      <c r="B234" s="46" t="s">
        <v>294</v>
      </c>
      <c r="C234" s="108" t="s">
        <v>88</v>
      </c>
      <c r="D234" s="46" t="s">
        <v>27</v>
      </c>
      <c r="E234" s="109"/>
      <c r="F234" s="110">
        <v>1</v>
      </c>
      <c r="G234" s="111">
        <v>998.17</v>
      </c>
      <c r="H234" s="138">
        <f t="shared" si="47"/>
        <v>1097.987</v>
      </c>
      <c r="I234" s="71">
        <f t="shared" si="48"/>
        <v>995.5082133333333</v>
      </c>
      <c r="J234" s="62">
        <f t="shared" si="49"/>
        <v>76156.37832</v>
      </c>
      <c r="K234" s="307"/>
      <c r="L234" s="410">
        <f>IF(OR(Калькуляция!$F234=3,),3,0)</f>
        <v>0</v>
      </c>
      <c r="M234" s="410">
        <f>IF(OR(Калькуляция!$F234=6,),6,0)</f>
        <v>0</v>
      </c>
      <c r="N234" s="410">
        <f>IF(OR(Калькуляция!$F234=9,),9,0)</f>
        <v>0</v>
      </c>
      <c r="O234" s="410">
        <f>IF(OR(Калькуляция!$F234=3,Калькуляция!$F234=6,Калькуляция!$F234=9,),369,0)</f>
        <v>0</v>
      </c>
      <c r="P234" s="67">
        <f t="shared" si="50"/>
        <v>0</v>
      </c>
      <c r="Q234" s="68">
        <f t="shared" si="51"/>
        <v>0</v>
      </c>
    </row>
    <row r="235" spans="1:17" s="29" customFormat="1" ht="12.75">
      <c r="A235" s="327">
        <f t="shared" si="44"/>
        <v>217</v>
      </c>
      <c r="B235" s="46" t="s">
        <v>295</v>
      </c>
      <c r="C235" s="108" t="s">
        <v>89</v>
      </c>
      <c r="D235" s="46" t="s">
        <v>27</v>
      </c>
      <c r="E235" s="109"/>
      <c r="F235" s="110">
        <v>1</v>
      </c>
      <c r="G235" s="111">
        <v>54</v>
      </c>
      <c r="H235" s="138">
        <f t="shared" si="47"/>
        <v>59.40000000000001</v>
      </c>
      <c r="I235" s="71">
        <f t="shared" si="48"/>
        <v>53.85600000000001</v>
      </c>
      <c r="J235" s="62">
        <f t="shared" si="49"/>
        <v>4119.984</v>
      </c>
      <c r="K235" s="307"/>
      <c r="L235" s="410">
        <f>IF(OR(Калькуляция!$F235=3,),3,0)</f>
        <v>0</v>
      </c>
      <c r="M235" s="410">
        <f>IF(OR(Калькуляция!$F235=6,),6,0)</f>
        <v>0</v>
      </c>
      <c r="N235" s="410">
        <f>IF(OR(Калькуляция!$F235=9,),9,0)</f>
        <v>0</v>
      </c>
      <c r="O235" s="410">
        <f>IF(OR(Калькуляция!$F235=3,Калькуляция!$F235=6,Калькуляция!$F235=9,),369,0)</f>
        <v>0</v>
      </c>
      <c r="P235" s="67">
        <f t="shared" si="50"/>
        <v>0</v>
      </c>
      <c r="Q235" s="68">
        <f t="shared" si="51"/>
        <v>0</v>
      </c>
    </row>
    <row r="236" spans="1:17" s="29" customFormat="1" ht="12.75">
      <c r="A236" s="327">
        <f t="shared" si="44"/>
        <v>218</v>
      </c>
      <c r="B236" s="46" t="s">
        <v>293</v>
      </c>
      <c r="C236" s="108" t="s">
        <v>90</v>
      </c>
      <c r="D236" s="46" t="s">
        <v>27</v>
      </c>
      <c r="E236" s="109"/>
      <c r="F236" s="110">
        <v>1</v>
      </c>
      <c r="G236" s="111">
        <v>-118</v>
      </c>
      <c r="H236" s="138">
        <f t="shared" si="47"/>
        <v>-129.8</v>
      </c>
      <c r="I236" s="71">
        <f t="shared" si="48"/>
        <v>-117.68533333333335</v>
      </c>
      <c r="J236" s="62">
        <f t="shared" si="49"/>
        <v>-9002.928000000002</v>
      </c>
      <c r="K236" s="307"/>
      <c r="L236" s="410">
        <f>IF(OR(Калькуляция!$F236=3,),3,0)</f>
        <v>0</v>
      </c>
      <c r="M236" s="410">
        <f>IF(OR(Калькуляция!$F236=6,),6,0)</f>
        <v>0</v>
      </c>
      <c r="N236" s="410">
        <f>IF(OR(Калькуляция!$F236=9,),9,0)</f>
        <v>0</v>
      </c>
      <c r="O236" s="410">
        <f>IF(OR(Калькуляция!$F236=3,Калькуляция!$F236=6,Калькуляция!$F236=9,),369,0)</f>
        <v>0</v>
      </c>
      <c r="P236" s="67">
        <f t="shared" si="50"/>
        <v>0</v>
      </c>
      <c r="Q236" s="68">
        <f t="shared" si="51"/>
        <v>0</v>
      </c>
    </row>
    <row r="237" spans="1:17" s="29" customFormat="1" ht="12.75">
      <c r="A237" s="327">
        <f t="shared" si="44"/>
        <v>219</v>
      </c>
      <c r="B237" s="46" t="s">
        <v>293</v>
      </c>
      <c r="C237" s="108" t="s">
        <v>91</v>
      </c>
      <c r="D237" s="46" t="s">
        <v>27</v>
      </c>
      <c r="E237" s="109"/>
      <c r="F237" s="110">
        <v>1</v>
      </c>
      <c r="G237" s="111">
        <v>-108</v>
      </c>
      <c r="H237" s="138">
        <f t="shared" si="47"/>
        <v>-118.80000000000003</v>
      </c>
      <c r="I237" s="71">
        <f t="shared" si="48"/>
        <v>-107.71200000000002</v>
      </c>
      <c r="J237" s="62">
        <f t="shared" si="49"/>
        <v>-8239.968</v>
      </c>
      <c r="K237" s="307"/>
      <c r="L237" s="410">
        <f>IF(OR(Калькуляция!$F237=3,),3,0)</f>
        <v>0</v>
      </c>
      <c r="M237" s="410">
        <f>IF(OR(Калькуляция!$F237=6,),6,0)</f>
        <v>0</v>
      </c>
      <c r="N237" s="410">
        <f>IF(OR(Калькуляция!$F237=9,),9,0)</f>
        <v>0</v>
      </c>
      <c r="O237" s="410">
        <f>IF(OR(Калькуляция!$F237=3,Калькуляция!$F237=6,Калькуляция!$F237=9,),369,0)</f>
        <v>0</v>
      </c>
      <c r="P237" s="67">
        <f t="shared" si="50"/>
        <v>0</v>
      </c>
      <c r="Q237" s="68">
        <f t="shared" si="51"/>
        <v>0</v>
      </c>
    </row>
    <row r="238" spans="1:17" s="29" customFormat="1" ht="12.75">
      <c r="A238" s="327">
        <f t="shared" si="44"/>
        <v>220</v>
      </c>
      <c r="B238" s="46" t="s">
        <v>293</v>
      </c>
      <c r="C238" s="108" t="s">
        <v>92</v>
      </c>
      <c r="D238" s="46" t="s">
        <v>27</v>
      </c>
      <c r="E238" s="109"/>
      <c r="F238" s="110">
        <v>1</v>
      </c>
      <c r="G238" s="111">
        <v>73</v>
      </c>
      <c r="H238" s="138">
        <f t="shared" si="47"/>
        <v>80.30000000000001</v>
      </c>
      <c r="I238" s="71">
        <f t="shared" si="48"/>
        <v>72.80533333333334</v>
      </c>
      <c r="J238" s="62">
        <f t="shared" si="49"/>
        <v>5569.608000000001</v>
      </c>
      <c r="K238" s="307"/>
      <c r="L238" s="410">
        <f>IF(OR(Калькуляция!$F238=3,),3,0)</f>
        <v>0</v>
      </c>
      <c r="M238" s="410">
        <f>IF(OR(Калькуляция!$F238=6,),6,0)</f>
        <v>0</v>
      </c>
      <c r="N238" s="410">
        <f>IF(OR(Калькуляция!$F238=9,),9,0)</f>
        <v>0</v>
      </c>
      <c r="O238" s="410">
        <f>IF(OR(Калькуляция!$F238=3,Калькуляция!$F238=6,Калькуляция!$F238=9,),369,0)</f>
        <v>0</v>
      </c>
      <c r="P238" s="67">
        <f t="shared" si="50"/>
        <v>0</v>
      </c>
      <c r="Q238" s="68">
        <f t="shared" si="51"/>
        <v>0</v>
      </c>
    </row>
    <row r="239" spans="1:17" s="29" customFormat="1" ht="12.75">
      <c r="A239" s="327">
        <f t="shared" si="44"/>
        <v>221</v>
      </c>
      <c r="B239" s="46" t="s">
        <v>293</v>
      </c>
      <c r="C239" s="108" t="s">
        <v>92</v>
      </c>
      <c r="D239" s="46" t="s">
        <v>27</v>
      </c>
      <c r="E239" s="109"/>
      <c r="F239" s="110">
        <v>1</v>
      </c>
      <c r="G239" s="111">
        <v>73</v>
      </c>
      <c r="H239" s="138">
        <f t="shared" si="47"/>
        <v>80.30000000000001</v>
      </c>
      <c r="I239" s="71">
        <f t="shared" si="48"/>
        <v>72.80533333333334</v>
      </c>
      <c r="J239" s="62">
        <f t="shared" si="49"/>
        <v>5569.608000000001</v>
      </c>
      <c r="K239" s="307"/>
      <c r="L239" s="410">
        <f>IF(OR(Калькуляция!$F239=3,),3,0)</f>
        <v>0</v>
      </c>
      <c r="M239" s="410">
        <f>IF(OR(Калькуляция!$F239=6,),6,0)</f>
        <v>0</v>
      </c>
      <c r="N239" s="410">
        <f>IF(OR(Калькуляция!$F239=9,),9,0)</f>
        <v>0</v>
      </c>
      <c r="O239" s="410">
        <f>IF(OR(Калькуляция!$F239=3,Калькуляция!$F239=6,Калькуляция!$F239=9,),369,0)</f>
        <v>0</v>
      </c>
      <c r="P239" s="67">
        <f t="shared" si="50"/>
        <v>0</v>
      </c>
      <c r="Q239" s="68">
        <f t="shared" si="51"/>
        <v>0</v>
      </c>
    </row>
    <row r="240" spans="1:17" s="29" customFormat="1" ht="12.75">
      <c r="A240" s="327">
        <f t="shared" si="44"/>
        <v>222</v>
      </c>
      <c r="B240" s="46" t="s">
        <v>293</v>
      </c>
      <c r="C240" s="108" t="s">
        <v>93</v>
      </c>
      <c r="D240" s="46" t="s">
        <v>27</v>
      </c>
      <c r="E240" s="109"/>
      <c r="F240" s="110">
        <v>1</v>
      </c>
      <c r="G240" s="111">
        <v>57.18</v>
      </c>
      <c r="H240" s="138">
        <f t="shared" si="47"/>
        <v>62.898</v>
      </c>
      <c r="I240" s="71">
        <f t="shared" si="48"/>
        <v>57.02752</v>
      </c>
      <c r="J240" s="62">
        <f t="shared" si="49"/>
        <v>4362.605280000001</v>
      </c>
      <c r="K240" s="307"/>
      <c r="L240" s="410">
        <f>IF(OR(Калькуляция!$F240=3,),3,0)</f>
        <v>0</v>
      </c>
      <c r="M240" s="410">
        <f>IF(OR(Калькуляция!$F240=6,),6,0)</f>
        <v>0</v>
      </c>
      <c r="N240" s="410">
        <f>IF(OR(Калькуляция!$F240=9,),9,0)</f>
        <v>0</v>
      </c>
      <c r="O240" s="410">
        <f>IF(OR(Калькуляция!$F240=3,Калькуляция!$F240=6,Калькуляция!$F240=9,),369,0)</f>
        <v>0</v>
      </c>
      <c r="P240" s="67">
        <f t="shared" si="50"/>
        <v>0</v>
      </c>
      <c r="Q240" s="68">
        <f t="shared" si="51"/>
        <v>0</v>
      </c>
    </row>
    <row r="241" spans="1:17" s="29" customFormat="1" ht="12.75">
      <c r="A241" s="327">
        <f aca="true" t="shared" si="52" ref="A241:A263">ROW()-18</f>
        <v>223</v>
      </c>
      <c r="B241" s="46" t="s">
        <v>294</v>
      </c>
      <c r="C241" s="108" t="s">
        <v>94</v>
      </c>
      <c r="D241" s="46" t="s">
        <v>27</v>
      </c>
      <c r="E241" s="109"/>
      <c r="F241" s="110">
        <v>1</v>
      </c>
      <c r="G241" s="111">
        <v>1286.73</v>
      </c>
      <c r="H241" s="138">
        <f t="shared" si="47"/>
        <v>1415.403</v>
      </c>
      <c r="I241" s="71">
        <f t="shared" si="48"/>
        <v>1283.29872</v>
      </c>
      <c r="J241" s="62">
        <f t="shared" si="49"/>
        <v>98172.35208</v>
      </c>
      <c r="K241" s="307"/>
      <c r="L241" s="410">
        <f>IF(OR(Калькуляция!$F241=3,),3,0)</f>
        <v>0</v>
      </c>
      <c r="M241" s="410">
        <f>IF(OR(Калькуляция!$F241=6,),6,0)</f>
        <v>0</v>
      </c>
      <c r="N241" s="410">
        <f>IF(OR(Калькуляция!$F241=9,),9,0)</f>
        <v>0</v>
      </c>
      <c r="O241" s="410">
        <f>IF(OR(Калькуляция!$F241=3,Калькуляция!$F241=6,Калькуляция!$F241=9,),369,0)</f>
        <v>0</v>
      </c>
      <c r="P241" s="67">
        <f t="shared" si="50"/>
        <v>0</v>
      </c>
      <c r="Q241" s="68">
        <f t="shared" si="51"/>
        <v>0</v>
      </c>
    </row>
    <row r="242" spans="1:17" s="29" customFormat="1" ht="12.75">
      <c r="A242" s="327">
        <f t="shared" si="52"/>
        <v>224</v>
      </c>
      <c r="B242" s="46" t="s">
        <v>294</v>
      </c>
      <c r="C242" s="108" t="s">
        <v>95</v>
      </c>
      <c r="D242" s="46" t="s">
        <v>27</v>
      </c>
      <c r="E242" s="109"/>
      <c r="F242" s="110">
        <v>1</v>
      </c>
      <c r="G242" s="111">
        <v>1443.43</v>
      </c>
      <c r="H242" s="138">
        <f t="shared" si="47"/>
        <v>1587.7730000000001</v>
      </c>
      <c r="I242" s="71">
        <f t="shared" si="48"/>
        <v>1439.5808533333334</v>
      </c>
      <c r="J242" s="62">
        <f t="shared" si="49"/>
        <v>110127.93528000002</v>
      </c>
      <c r="K242" s="307"/>
      <c r="L242" s="410">
        <f>IF(OR(Калькуляция!$F242=3,),3,0)</f>
        <v>0</v>
      </c>
      <c r="M242" s="410">
        <f>IF(OR(Калькуляция!$F242=6,),6,0)</f>
        <v>0</v>
      </c>
      <c r="N242" s="410">
        <f>IF(OR(Калькуляция!$F242=9,),9,0)</f>
        <v>0</v>
      </c>
      <c r="O242" s="410">
        <f>IF(OR(Калькуляция!$F242=3,Калькуляция!$F242=6,Калькуляция!$F242=9,),369,0)</f>
        <v>0</v>
      </c>
      <c r="P242" s="67">
        <f t="shared" si="50"/>
        <v>0</v>
      </c>
      <c r="Q242" s="68">
        <f t="shared" si="51"/>
        <v>0</v>
      </c>
    </row>
    <row r="243" spans="1:17" s="29" customFormat="1" ht="12.75">
      <c r="A243" s="327">
        <f t="shared" si="52"/>
        <v>225</v>
      </c>
      <c r="B243" s="46" t="s">
        <v>293</v>
      </c>
      <c r="C243" s="108" t="s">
        <v>96</v>
      </c>
      <c r="D243" s="46" t="s">
        <v>27</v>
      </c>
      <c r="E243" s="109"/>
      <c r="F243" s="110">
        <v>1</v>
      </c>
      <c r="G243" s="111">
        <v>-147</v>
      </c>
      <c r="H243" s="138">
        <f t="shared" si="47"/>
        <v>-161.70000000000002</v>
      </c>
      <c r="I243" s="71">
        <f t="shared" si="48"/>
        <v>-146.608</v>
      </c>
      <c r="J243" s="62">
        <f t="shared" si="49"/>
        <v>-11215.512</v>
      </c>
      <c r="K243" s="307"/>
      <c r="L243" s="410">
        <f>IF(OR(Калькуляция!$F243=3,),3,0)</f>
        <v>0</v>
      </c>
      <c r="M243" s="410">
        <f>IF(OR(Калькуляция!$F243=6,),6,0)</f>
        <v>0</v>
      </c>
      <c r="N243" s="410">
        <f>IF(OR(Калькуляция!$F243=9,),9,0)</f>
        <v>0</v>
      </c>
      <c r="O243" s="410">
        <f>IF(OR(Калькуляция!$F243=3,Калькуляция!$F243=6,Калькуляция!$F243=9,),369,0)</f>
        <v>0</v>
      </c>
      <c r="P243" s="67">
        <f t="shared" si="50"/>
        <v>0</v>
      </c>
      <c r="Q243" s="68">
        <f t="shared" si="51"/>
        <v>0</v>
      </c>
    </row>
    <row r="244" spans="1:17" s="29" customFormat="1" ht="12.75">
      <c r="A244" s="327">
        <f t="shared" si="52"/>
        <v>226</v>
      </c>
      <c r="B244" s="46" t="s">
        <v>293</v>
      </c>
      <c r="C244" s="108" t="s">
        <v>97</v>
      </c>
      <c r="D244" s="46" t="s">
        <v>27</v>
      </c>
      <c r="E244" s="109"/>
      <c r="F244" s="110">
        <v>1</v>
      </c>
      <c r="G244" s="111">
        <v>-140</v>
      </c>
      <c r="H244" s="138">
        <f t="shared" si="47"/>
        <v>-154</v>
      </c>
      <c r="I244" s="71">
        <f t="shared" si="48"/>
        <v>-139.62666666666667</v>
      </c>
      <c r="J244" s="62">
        <f t="shared" si="49"/>
        <v>-10681.44</v>
      </c>
      <c r="K244" s="307"/>
      <c r="L244" s="410">
        <f>IF(OR(Калькуляция!$F244=3,),3,0)</f>
        <v>0</v>
      </c>
      <c r="M244" s="410">
        <f>IF(OR(Калькуляция!$F244=6,),6,0)</f>
        <v>0</v>
      </c>
      <c r="N244" s="410">
        <f>IF(OR(Калькуляция!$F244=9,),9,0)</f>
        <v>0</v>
      </c>
      <c r="O244" s="410">
        <f>IF(OR(Калькуляция!$F244=3,Калькуляция!$F244=6,Калькуляция!$F244=9,),369,0)</f>
        <v>0</v>
      </c>
      <c r="P244" s="67">
        <f t="shared" si="50"/>
        <v>0</v>
      </c>
      <c r="Q244" s="68">
        <f t="shared" si="51"/>
        <v>0</v>
      </c>
    </row>
    <row r="245" spans="1:17" s="29" customFormat="1" ht="12.75">
      <c r="A245" s="327">
        <f t="shared" si="52"/>
        <v>227</v>
      </c>
      <c r="B245" s="46" t="s">
        <v>293</v>
      </c>
      <c r="C245" s="108" t="s">
        <v>98</v>
      </c>
      <c r="D245" s="46" t="s">
        <v>27</v>
      </c>
      <c r="E245" s="109"/>
      <c r="F245" s="110">
        <v>1</v>
      </c>
      <c r="G245" s="111">
        <v>-116</v>
      </c>
      <c r="H245" s="138">
        <f t="shared" si="47"/>
        <v>-127.60000000000001</v>
      </c>
      <c r="I245" s="71">
        <f t="shared" si="48"/>
        <v>-115.69066666666667</v>
      </c>
      <c r="J245" s="62">
        <f t="shared" si="49"/>
        <v>-8850.336000000001</v>
      </c>
      <c r="K245" s="307"/>
      <c r="L245" s="410">
        <f>IF(OR(Калькуляция!$F245=3,),3,0)</f>
        <v>0</v>
      </c>
      <c r="M245" s="410">
        <f>IF(OR(Калькуляция!$F245=6,),6,0)</f>
        <v>0</v>
      </c>
      <c r="N245" s="410">
        <f>IF(OR(Калькуляция!$F245=9,),9,0)</f>
        <v>0</v>
      </c>
      <c r="O245" s="410">
        <f>IF(OR(Калькуляция!$F245=3,Калькуляция!$F245=6,Калькуляция!$F245=9,),369,0)</f>
        <v>0</v>
      </c>
      <c r="P245" s="67">
        <f t="shared" si="50"/>
        <v>0</v>
      </c>
      <c r="Q245" s="68">
        <f t="shared" si="51"/>
        <v>0</v>
      </c>
    </row>
    <row r="246" spans="1:17" s="29" customFormat="1" ht="12.75">
      <c r="A246" s="327">
        <f t="shared" si="52"/>
        <v>228</v>
      </c>
      <c r="B246" s="46" t="s">
        <v>293</v>
      </c>
      <c r="C246" s="108" t="s">
        <v>99</v>
      </c>
      <c r="D246" s="46" t="s">
        <v>27</v>
      </c>
      <c r="E246" s="109"/>
      <c r="F246" s="110">
        <v>1</v>
      </c>
      <c r="G246" s="111">
        <v>35</v>
      </c>
      <c r="H246" s="138">
        <f t="shared" si="47"/>
        <v>38.5</v>
      </c>
      <c r="I246" s="71">
        <f t="shared" si="48"/>
        <v>34.906666666666666</v>
      </c>
      <c r="J246" s="62">
        <f t="shared" si="49"/>
        <v>2670.36</v>
      </c>
      <c r="K246" s="307"/>
      <c r="L246" s="410">
        <f>IF(OR(Калькуляция!$F246=3,),3,0)</f>
        <v>0</v>
      </c>
      <c r="M246" s="410">
        <f>IF(OR(Калькуляция!$F246=6,),6,0)</f>
        <v>0</v>
      </c>
      <c r="N246" s="410">
        <f>IF(OR(Калькуляция!$F246=9,),9,0)</f>
        <v>0</v>
      </c>
      <c r="O246" s="410">
        <f>IF(OR(Калькуляция!$F246=3,Калькуляция!$F246=6,Калькуляция!$F246=9,),369,0)</f>
        <v>0</v>
      </c>
      <c r="P246" s="67">
        <f t="shared" si="50"/>
        <v>0</v>
      </c>
      <c r="Q246" s="68">
        <f t="shared" si="51"/>
        <v>0</v>
      </c>
    </row>
    <row r="247" spans="1:17" s="29" customFormat="1" ht="12.75">
      <c r="A247" s="327">
        <f t="shared" si="52"/>
        <v>229</v>
      </c>
      <c r="B247" s="46" t="s">
        <v>293</v>
      </c>
      <c r="C247" s="108" t="s">
        <v>210</v>
      </c>
      <c r="D247" s="46" t="s">
        <v>27</v>
      </c>
      <c r="E247" s="109"/>
      <c r="F247" s="110">
        <v>1</v>
      </c>
      <c r="G247" s="111">
        <v>-60</v>
      </c>
      <c r="H247" s="138">
        <f t="shared" si="47"/>
        <v>-66</v>
      </c>
      <c r="I247" s="71">
        <f t="shared" si="48"/>
        <v>-59.84</v>
      </c>
      <c r="J247" s="62">
        <f t="shared" si="49"/>
        <v>-4577.760000000001</v>
      </c>
      <c r="K247" s="307"/>
      <c r="L247" s="410">
        <f>IF(OR(Калькуляция!$F247=3,),3,0)</f>
        <v>0</v>
      </c>
      <c r="M247" s="410">
        <f>IF(OR(Калькуляция!$F247=6,),6,0)</f>
        <v>0</v>
      </c>
      <c r="N247" s="410">
        <f>IF(OR(Калькуляция!$F247=9,),9,0)</f>
        <v>0</v>
      </c>
      <c r="O247" s="410">
        <f>IF(OR(Калькуляция!$F247=3,Калькуляция!$F247=6,Калькуляция!$F247=9,),369,0)</f>
        <v>0</v>
      </c>
      <c r="P247" s="67">
        <f t="shared" si="50"/>
        <v>0</v>
      </c>
      <c r="Q247" s="68">
        <f t="shared" si="51"/>
        <v>0</v>
      </c>
    </row>
    <row r="248" spans="1:17" s="29" customFormat="1" ht="12.75">
      <c r="A248" s="327">
        <f t="shared" si="52"/>
        <v>230</v>
      </c>
      <c r="B248" s="46" t="s">
        <v>293</v>
      </c>
      <c r="C248" s="108" t="s">
        <v>100</v>
      </c>
      <c r="D248" s="46" t="s">
        <v>27</v>
      </c>
      <c r="E248" s="109"/>
      <c r="F248" s="110">
        <v>1</v>
      </c>
      <c r="G248" s="111">
        <v>87</v>
      </c>
      <c r="H248" s="138">
        <f t="shared" si="47"/>
        <v>95.7</v>
      </c>
      <c r="I248" s="71">
        <f t="shared" si="48"/>
        <v>86.768</v>
      </c>
      <c r="J248" s="62">
        <f t="shared" si="49"/>
        <v>6637.752</v>
      </c>
      <c r="K248" s="307"/>
      <c r="L248" s="410">
        <f>IF(OR(Калькуляция!$F248=3,),3,0)</f>
        <v>0</v>
      </c>
      <c r="M248" s="410">
        <f>IF(OR(Калькуляция!$F248=6,),6,0)</f>
        <v>0</v>
      </c>
      <c r="N248" s="410">
        <f>IF(OR(Калькуляция!$F248=9,),9,0)</f>
        <v>0</v>
      </c>
      <c r="O248" s="410">
        <f>IF(OR(Калькуляция!$F248=3,Калькуляция!$F248=6,Калькуляция!$F248=9,),369,0)</f>
        <v>0</v>
      </c>
      <c r="P248" s="67">
        <f t="shared" si="50"/>
        <v>0</v>
      </c>
      <c r="Q248" s="68">
        <f t="shared" si="51"/>
        <v>0</v>
      </c>
    </row>
    <row r="249" spans="1:17" s="29" customFormat="1" ht="12.75">
      <c r="A249" s="327">
        <f t="shared" si="52"/>
        <v>231</v>
      </c>
      <c r="B249" s="46" t="s">
        <v>293</v>
      </c>
      <c r="C249" s="108" t="s">
        <v>101</v>
      </c>
      <c r="D249" s="46" t="s">
        <v>27</v>
      </c>
      <c r="E249" s="109"/>
      <c r="F249" s="110">
        <v>1</v>
      </c>
      <c r="G249" s="111">
        <v>87</v>
      </c>
      <c r="H249" s="138">
        <f t="shared" si="47"/>
        <v>95.7</v>
      </c>
      <c r="I249" s="71">
        <f t="shared" si="48"/>
        <v>86.768</v>
      </c>
      <c r="J249" s="62">
        <f t="shared" si="49"/>
        <v>6637.752</v>
      </c>
      <c r="K249" s="307"/>
      <c r="L249" s="410">
        <f>IF(OR(Калькуляция!$F249=3,),3,0)</f>
        <v>0</v>
      </c>
      <c r="M249" s="410">
        <f>IF(OR(Калькуляция!$F249=6,),6,0)</f>
        <v>0</v>
      </c>
      <c r="N249" s="410">
        <f>IF(OR(Калькуляция!$F249=9,),9,0)</f>
        <v>0</v>
      </c>
      <c r="O249" s="410">
        <f>IF(OR(Калькуляция!$F249=3,Калькуляция!$F249=6,Калькуляция!$F249=9,),369,0)</f>
        <v>0</v>
      </c>
      <c r="P249" s="67">
        <f t="shared" si="50"/>
        <v>0</v>
      </c>
      <c r="Q249" s="68">
        <f t="shared" si="51"/>
        <v>0</v>
      </c>
    </row>
    <row r="250" spans="1:17" s="29" customFormat="1" ht="12.75">
      <c r="A250" s="327">
        <f t="shared" si="52"/>
        <v>232</v>
      </c>
      <c r="B250" s="46" t="s">
        <v>102</v>
      </c>
      <c r="C250" s="108" t="s">
        <v>103</v>
      </c>
      <c r="D250" s="46" t="s">
        <v>78</v>
      </c>
      <c r="E250" s="109"/>
      <c r="F250" s="110">
        <v>1</v>
      </c>
      <c r="G250" s="111">
        <v>2</v>
      </c>
      <c r="H250" s="138">
        <f t="shared" si="47"/>
        <v>2.2</v>
      </c>
      <c r="I250" s="71">
        <f t="shared" si="48"/>
        <v>1.9946666666666668</v>
      </c>
      <c r="J250" s="62">
        <f t="shared" si="49"/>
        <v>152.592</v>
      </c>
      <c r="K250" s="307"/>
      <c r="L250" s="410">
        <f>IF(OR(Калькуляция!$F250=3,),3,0)</f>
        <v>0</v>
      </c>
      <c r="M250" s="410">
        <f>IF(OR(Калькуляция!$F250=6,),6,0)</f>
        <v>0</v>
      </c>
      <c r="N250" s="410">
        <f>IF(OR(Калькуляция!$F250=9,),9,0)</f>
        <v>0</v>
      </c>
      <c r="O250" s="410">
        <f>IF(OR(Калькуляция!$F250=3,Калькуляция!$F250=6,Калькуляция!$F250=9,),369,0)</f>
        <v>0</v>
      </c>
      <c r="P250" s="67">
        <f t="shared" si="50"/>
        <v>0</v>
      </c>
      <c r="Q250" s="68">
        <f t="shared" si="51"/>
        <v>0</v>
      </c>
    </row>
    <row r="251" spans="1:17" s="29" customFormat="1" ht="12.75">
      <c r="A251" s="327">
        <f t="shared" si="52"/>
        <v>233</v>
      </c>
      <c r="B251" s="46" t="s">
        <v>104</v>
      </c>
      <c r="C251" s="108" t="s">
        <v>105</v>
      </c>
      <c r="D251" s="46" t="s">
        <v>78</v>
      </c>
      <c r="E251" s="109"/>
      <c r="F251" s="110">
        <v>1</v>
      </c>
      <c r="G251" s="111">
        <v>4.5</v>
      </c>
      <c r="H251" s="138">
        <f t="shared" si="47"/>
        <v>4.950000000000001</v>
      </c>
      <c r="I251" s="71">
        <f t="shared" si="48"/>
        <v>4.488</v>
      </c>
      <c r="J251" s="62">
        <f t="shared" si="49"/>
        <v>343.3320000000001</v>
      </c>
      <c r="K251" s="307"/>
      <c r="L251" s="410">
        <f>IF(OR(Калькуляция!$F251=3,),3,0)</f>
        <v>0</v>
      </c>
      <c r="M251" s="410">
        <f>IF(OR(Калькуляция!$F251=6,),6,0)</f>
        <v>0</v>
      </c>
      <c r="N251" s="410">
        <f>IF(OR(Калькуляция!$F251=9,),9,0)</f>
        <v>0</v>
      </c>
      <c r="O251" s="410">
        <f>IF(OR(Калькуляция!$F251=3,Калькуляция!$F251=6,Калькуляция!$F251=9,),369,0)</f>
        <v>0</v>
      </c>
      <c r="P251" s="67">
        <f t="shared" si="50"/>
        <v>0</v>
      </c>
      <c r="Q251" s="68">
        <f t="shared" si="51"/>
        <v>0</v>
      </c>
    </row>
    <row r="252" spans="1:17" s="29" customFormat="1" ht="12.75">
      <c r="A252" s="327">
        <f t="shared" si="52"/>
        <v>234</v>
      </c>
      <c r="B252" s="46" t="s">
        <v>222</v>
      </c>
      <c r="C252" s="108"/>
      <c r="D252" s="46" t="s">
        <v>27</v>
      </c>
      <c r="E252" s="109"/>
      <c r="F252" s="110">
        <v>1</v>
      </c>
      <c r="G252" s="111">
        <v>150</v>
      </c>
      <c r="H252" s="138">
        <f t="shared" si="47"/>
        <v>165.00000000000003</v>
      </c>
      <c r="I252" s="71">
        <f t="shared" si="48"/>
        <v>149.60000000000002</v>
      </c>
      <c r="J252" s="62">
        <f t="shared" si="49"/>
        <v>11444.400000000001</v>
      </c>
      <c r="K252" s="307"/>
      <c r="L252" s="410">
        <f>IF(OR(Калькуляция!$F252=3,),3,0)</f>
        <v>0</v>
      </c>
      <c r="M252" s="410">
        <f>IF(OR(Калькуляция!$F252=6,),6,0)</f>
        <v>0</v>
      </c>
      <c r="N252" s="410">
        <f>IF(OR(Калькуляция!$F252=9,),9,0)</f>
        <v>0</v>
      </c>
      <c r="O252" s="410">
        <f>IF(OR(Калькуляция!$F252=3,Калькуляция!$F252=6,Калькуляция!$F252=9,),369,0)</f>
        <v>0</v>
      </c>
      <c r="P252" s="67">
        <f t="shared" si="50"/>
        <v>0</v>
      </c>
      <c r="Q252" s="68">
        <f t="shared" si="51"/>
        <v>0</v>
      </c>
    </row>
    <row r="253" spans="1:17" ht="12.75">
      <c r="A253" s="327">
        <f t="shared" si="52"/>
        <v>235</v>
      </c>
      <c r="B253" s="47" t="s">
        <v>28</v>
      </c>
      <c r="C253" s="112" t="s">
        <v>106</v>
      </c>
      <c r="D253" s="48" t="s">
        <v>30</v>
      </c>
      <c r="E253" s="113">
        <v>80</v>
      </c>
      <c r="F253" s="114">
        <v>2</v>
      </c>
      <c r="G253" s="115">
        <v>0</v>
      </c>
      <c r="H253" s="138">
        <f t="shared" si="47"/>
        <v>97.05882352941177</v>
      </c>
      <c r="I253" s="71">
        <f t="shared" si="48"/>
        <v>88</v>
      </c>
      <c r="J253" s="62">
        <f t="shared" si="49"/>
        <v>6732</v>
      </c>
      <c r="K253" s="307">
        <v>1</v>
      </c>
      <c r="L253" s="410">
        <f>IF(OR(Калькуляция!$F253=3,),3,0)</f>
        <v>0</v>
      </c>
      <c r="M253" s="410">
        <f>IF(OR(Калькуляция!$F253=6,),6,0)</f>
        <v>0</v>
      </c>
      <c r="N253" s="410">
        <f>IF(OR(Калькуляция!$F253=9,),9,0)</f>
        <v>0</v>
      </c>
      <c r="O253" s="410">
        <f>IF(OR(Калькуляция!$F253=3,Калькуляция!$F253=6,Калькуляция!$F253=9,),369,0)</f>
        <v>0</v>
      </c>
      <c r="P253" s="80">
        <f t="shared" si="50"/>
        <v>88</v>
      </c>
      <c r="Q253" s="68">
        <f t="shared" si="51"/>
        <v>6732</v>
      </c>
    </row>
    <row r="254" spans="1:17" ht="12.75">
      <c r="A254" s="327">
        <f t="shared" si="52"/>
        <v>236</v>
      </c>
      <c r="B254" s="47" t="s">
        <v>76</v>
      </c>
      <c r="C254" s="112" t="s">
        <v>77</v>
      </c>
      <c r="D254" s="48" t="s">
        <v>78</v>
      </c>
      <c r="E254" s="113">
        <v>0.5</v>
      </c>
      <c r="F254" s="114">
        <v>3</v>
      </c>
      <c r="G254" s="115">
        <v>0</v>
      </c>
      <c r="H254" s="138">
        <f t="shared" si="47"/>
        <v>0.48529411764705893</v>
      </c>
      <c r="I254" s="71">
        <f t="shared" si="48"/>
        <v>0.44000000000000006</v>
      </c>
      <c r="J254" s="62">
        <f t="shared" si="49"/>
        <v>33.66000000000001</v>
      </c>
      <c r="K254" s="307">
        <v>45</v>
      </c>
      <c r="L254" s="410">
        <f>IF(OR(Калькуляция!$F254=3,),3,0)</f>
        <v>3</v>
      </c>
      <c r="M254" s="410">
        <f>IF(OR(Калькуляция!$F254=6,),6,0)</f>
        <v>0</v>
      </c>
      <c r="N254" s="410">
        <f>IF(OR(Калькуляция!$F254=9,),9,0)</f>
        <v>0</v>
      </c>
      <c r="O254" s="410">
        <f>IF(OR(Калькуляция!$F254=3,Калькуляция!$F254=6,Калькуляция!$F254=9,),369,0)</f>
        <v>369</v>
      </c>
      <c r="P254" s="80">
        <f t="shared" si="50"/>
        <v>19.800000000000004</v>
      </c>
      <c r="Q254" s="68">
        <f t="shared" si="51"/>
        <v>1514.7000000000005</v>
      </c>
    </row>
    <row r="255" spans="1:17" ht="12.75">
      <c r="A255" s="327">
        <f t="shared" si="52"/>
        <v>237</v>
      </c>
      <c r="B255" s="48" t="s">
        <v>31</v>
      </c>
      <c r="C255" s="112" t="s">
        <v>106</v>
      </c>
      <c r="D255" s="48" t="s">
        <v>32</v>
      </c>
      <c r="E255" s="113">
        <v>40</v>
      </c>
      <c r="F255" s="114">
        <v>6</v>
      </c>
      <c r="G255" s="115">
        <v>0</v>
      </c>
      <c r="H255" s="138">
        <f t="shared" si="47"/>
        <v>38.82352941176471</v>
      </c>
      <c r="I255" s="71">
        <f t="shared" si="48"/>
        <v>35.2</v>
      </c>
      <c r="J255" s="62">
        <f t="shared" si="49"/>
        <v>2692.8000000000006</v>
      </c>
      <c r="K255" s="307">
        <v>1</v>
      </c>
      <c r="L255" s="410">
        <f>IF(OR(Калькуляция!$F255=3,),3,0)</f>
        <v>0</v>
      </c>
      <c r="M255" s="410">
        <f>IF(OR(Калькуляция!$F255=6,),6,0)</f>
        <v>6</v>
      </c>
      <c r="N255" s="410">
        <f>IF(OR(Калькуляция!$F255=9,),9,0)</f>
        <v>0</v>
      </c>
      <c r="O255" s="410">
        <f>IF(OR(Калькуляция!$F255=3,Калькуляция!$F255=6,Калькуляция!$F255=9,),369,0)</f>
        <v>369</v>
      </c>
      <c r="P255" s="80">
        <f t="shared" si="50"/>
        <v>35.2</v>
      </c>
      <c r="Q255" s="68">
        <f t="shared" si="51"/>
        <v>2692.8000000000006</v>
      </c>
    </row>
    <row r="256" spans="1:17" ht="12.75">
      <c r="A256" s="327">
        <f t="shared" si="52"/>
        <v>238</v>
      </c>
      <c r="B256" s="49" t="s">
        <v>107</v>
      </c>
      <c r="C256" s="112" t="s">
        <v>108</v>
      </c>
      <c r="D256" s="116" t="s">
        <v>32</v>
      </c>
      <c r="E256" s="113">
        <v>60</v>
      </c>
      <c r="F256" s="117">
        <v>6</v>
      </c>
      <c r="G256" s="115">
        <v>0</v>
      </c>
      <c r="H256" s="138">
        <f t="shared" si="47"/>
        <v>58.235294117647065</v>
      </c>
      <c r="I256" s="71">
        <f t="shared" si="48"/>
        <v>52.800000000000004</v>
      </c>
      <c r="J256" s="62">
        <f t="shared" si="49"/>
        <v>4039.2000000000007</v>
      </c>
      <c r="K256" s="307">
        <v>1</v>
      </c>
      <c r="L256" s="410">
        <f>IF(OR(Калькуляция!$F256=3,),3,0)</f>
        <v>0</v>
      </c>
      <c r="M256" s="410">
        <f>IF(OR(Калькуляция!$F256=6,),6,0)</f>
        <v>6</v>
      </c>
      <c r="N256" s="410">
        <f>IF(OR(Калькуляция!$F256=9,),9,0)</f>
        <v>0</v>
      </c>
      <c r="O256" s="410">
        <f>IF(OR(Калькуляция!$F256=3,Калькуляция!$F256=6,Калькуляция!$F256=9,),369,0)</f>
        <v>369</v>
      </c>
      <c r="P256" s="80">
        <f t="shared" si="50"/>
        <v>52.800000000000004</v>
      </c>
      <c r="Q256" s="68">
        <f t="shared" si="51"/>
        <v>4039.2000000000007</v>
      </c>
    </row>
    <row r="257" spans="1:17" s="29" customFormat="1" ht="12.75">
      <c r="A257" s="327">
        <f t="shared" si="52"/>
        <v>239</v>
      </c>
      <c r="B257" s="46" t="s">
        <v>219</v>
      </c>
      <c r="C257" s="108"/>
      <c r="D257" s="46" t="s">
        <v>27</v>
      </c>
      <c r="E257" s="109"/>
      <c r="F257" s="110">
        <v>1</v>
      </c>
      <c r="G257" s="111">
        <v>130</v>
      </c>
      <c r="H257" s="138">
        <f t="shared" si="47"/>
        <v>143</v>
      </c>
      <c r="I257" s="71">
        <f t="shared" si="48"/>
        <v>129.65333333333334</v>
      </c>
      <c r="J257" s="62">
        <f t="shared" si="49"/>
        <v>9918.48</v>
      </c>
      <c r="K257" s="307"/>
      <c r="L257" s="410">
        <f>IF(OR(Калькуляция!$F257=3,),3,0)</f>
        <v>0</v>
      </c>
      <c r="M257" s="410">
        <f>IF(OR(Калькуляция!$F257=6,),6,0)</f>
        <v>0</v>
      </c>
      <c r="N257" s="410">
        <f>IF(OR(Калькуляция!$F257=9,),9,0)</f>
        <v>0</v>
      </c>
      <c r="O257" s="410">
        <f>IF(OR(Калькуляция!$F257=3,Калькуляция!$F257=6,Калькуляция!$F257=9,),369,0)</f>
        <v>0</v>
      </c>
      <c r="P257" s="67">
        <f t="shared" si="50"/>
        <v>0</v>
      </c>
      <c r="Q257" s="68">
        <f t="shared" si="51"/>
        <v>0</v>
      </c>
    </row>
    <row r="258" spans="1:17" ht="12.75">
      <c r="A258" s="331">
        <f t="shared" si="52"/>
        <v>240</v>
      </c>
      <c r="B258" s="41" t="s">
        <v>414</v>
      </c>
      <c r="C258" s="93" t="s">
        <v>425</v>
      </c>
      <c r="D258" s="41" t="s">
        <v>36</v>
      </c>
      <c r="E258" s="95">
        <v>20</v>
      </c>
      <c r="F258" s="96">
        <v>6</v>
      </c>
      <c r="G258" s="97">
        <v>0</v>
      </c>
      <c r="H258" s="138">
        <f t="shared" si="47"/>
        <v>19.411764705882355</v>
      </c>
      <c r="I258" s="71">
        <f t="shared" si="48"/>
        <v>17.6</v>
      </c>
      <c r="J258" s="62">
        <f t="shared" si="49"/>
        <v>1346.4000000000003</v>
      </c>
      <c r="K258" s="307"/>
      <c r="L258" s="410">
        <f>IF(OR(Калькуляция!$F258=3,),3,0)</f>
        <v>0</v>
      </c>
      <c r="M258" s="410">
        <f>IF(OR(Калькуляция!$F258=6,),6,0)</f>
        <v>6</v>
      </c>
      <c r="N258" s="410">
        <f>IF(OR(Калькуляция!$F258=9,),9,0)</f>
        <v>0</v>
      </c>
      <c r="O258" s="410">
        <f>IF(OR(Калькуляция!$F258=3,Калькуляция!$F258=6,Калькуляция!$F258=9,),369,0)</f>
        <v>369</v>
      </c>
      <c r="P258" s="80">
        <f t="shared" si="50"/>
        <v>0</v>
      </c>
      <c r="Q258" s="68">
        <f t="shared" si="51"/>
        <v>0</v>
      </c>
    </row>
    <row r="259" spans="1:17" s="236" customFormat="1" ht="12.75">
      <c r="A259" s="326">
        <f t="shared" si="52"/>
        <v>241</v>
      </c>
      <c r="B259" s="226" t="s">
        <v>134</v>
      </c>
      <c r="C259" s="237" t="s">
        <v>135</v>
      </c>
      <c r="D259" s="238" t="s">
        <v>136</v>
      </c>
      <c r="E259" s="239">
        <v>1.5</v>
      </c>
      <c r="F259" s="240">
        <v>3</v>
      </c>
      <c r="G259" s="241">
        <v>0</v>
      </c>
      <c r="H259" s="138">
        <f t="shared" si="47"/>
        <v>1.4558823529411768</v>
      </c>
      <c r="I259" s="71">
        <f t="shared" si="48"/>
        <v>1.3200000000000003</v>
      </c>
      <c r="J259" s="233">
        <f t="shared" si="49"/>
        <v>100.98000000000003</v>
      </c>
      <c r="K259" s="307"/>
      <c r="L259" s="410">
        <f>IF(OR(Калькуляция!$F259=3,),3,0)</f>
        <v>3</v>
      </c>
      <c r="M259" s="410">
        <f>IF(OR(Калькуляция!$F259=6,),6,0)</f>
        <v>0</v>
      </c>
      <c r="N259" s="410">
        <f>IF(OR(Калькуляция!$F259=9,),9,0)</f>
        <v>0</v>
      </c>
      <c r="O259" s="410">
        <f>IF(OR(Калькуляция!$F259=3,Калькуляция!$F259=6,Калькуляция!$F259=9,),369,0)</f>
        <v>369</v>
      </c>
      <c r="P259" s="234">
        <f t="shared" si="50"/>
        <v>0</v>
      </c>
      <c r="Q259" s="235">
        <f t="shared" si="51"/>
        <v>0</v>
      </c>
    </row>
    <row r="260" spans="1:17" s="29" customFormat="1" ht="12.75">
      <c r="A260" s="319">
        <f t="shared" si="52"/>
        <v>242</v>
      </c>
      <c r="B260" s="55" t="s">
        <v>148</v>
      </c>
      <c r="C260" s="130" t="s">
        <v>149</v>
      </c>
      <c r="D260" s="131" t="s">
        <v>120</v>
      </c>
      <c r="E260" s="122"/>
      <c r="F260" s="123">
        <v>1</v>
      </c>
      <c r="G260" s="124">
        <v>130</v>
      </c>
      <c r="H260" s="138">
        <f t="shared" si="47"/>
        <v>143</v>
      </c>
      <c r="I260" s="71">
        <f t="shared" si="48"/>
        <v>129.65333333333334</v>
      </c>
      <c r="J260" s="62">
        <f t="shared" si="49"/>
        <v>9918.48</v>
      </c>
      <c r="K260" s="307"/>
      <c r="L260" s="410">
        <f>IF(OR(Калькуляция!$F260=3,),3,0)</f>
        <v>0</v>
      </c>
      <c r="M260" s="410">
        <f>IF(OR(Калькуляция!$F260=6,),6,0)</f>
        <v>0</v>
      </c>
      <c r="N260" s="410">
        <f>IF(OR(Калькуляция!$F260=9,),9,0)</f>
        <v>0</v>
      </c>
      <c r="O260" s="410">
        <f>IF(OR(Калькуляция!$F260=3,Калькуляция!$F260=6,Калькуляция!$F260=9,),369,0)</f>
        <v>0</v>
      </c>
      <c r="P260" s="67">
        <f t="shared" si="50"/>
        <v>0</v>
      </c>
      <c r="Q260" s="68">
        <f t="shared" si="51"/>
        <v>0</v>
      </c>
    </row>
    <row r="261" spans="1:17" s="29" customFormat="1" ht="12.75">
      <c r="A261" s="319">
        <f t="shared" si="52"/>
        <v>243</v>
      </c>
      <c r="B261" s="55" t="s">
        <v>221</v>
      </c>
      <c r="C261" s="130" t="s">
        <v>149</v>
      </c>
      <c r="D261" s="131" t="s">
        <v>120</v>
      </c>
      <c r="E261" s="122">
        <v>205</v>
      </c>
      <c r="F261" s="123">
        <v>1</v>
      </c>
      <c r="G261" s="124">
        <v>0</v>
      </c>
      <c r="H261" s="138">
        <f t="shared" si="47"/>
        <v>248.71323529411768</v>
      </c>
      <c r="I261" s="71">
        <f t="shared" si="48"/>
        <v>225.50000000000003</v>
      </c>
      <c r="J261" s="62">
        <f t="shared" si="49"/>
        <v>17250.750000000004</v>
      </c>
      <c r="K261" s="307"/>
      <c r="L261" s="410">
        <f>IF(OR(Калькуляция!$F261=3,),3,0)</f>
        <v>0</v>
      </c>
      <c r="M261" s="410">
        <f>IF(OR(Калькуляция!$F261=6,),6,0)</f>
        <v>0</v>
      </c>
      <c r="N261" s="410">
        <f>IF(OR(Калькуляция!$F261=9,),9,0)</f>
        <v>0</v>
      </c>
      <c r="O261" s="410">
        <f>IF(OR(Калькуляция!$F261=3,Калькуляция!$F261=6,Калькуляция!$F261=9,),369,0)</f>
        <v>0</v>
      </c>
      <c r="P261" s="67">
        <f t="shared" si="50"/>
        <v>0</v>
      </c>
      <c r="Q261" s="68">
        <f t="shared" si="51"/>
        <v>0</v>
      </c>
    </row>
    <row r="262" spans="1:17" s="29" customFormat="1" ht="12.75">
      <c r="A262" s="319">
        <f t="shared" si="52"/>
        <v>244</v>
      </c>
      <c r="B262" s="52" t="s">
        <v>186</v>
      </c>
      <c r="C262" s="129" t="s">
        <v>127</v>
      </c>
      <c r="D262" s="52" t="s">
        <v>78</v>
      </c>
      <c r="E262" s="122">
        <v>30</v>
      </c>
      <c r="F262" s="123">
        <v>1</v>
      </c>
      <c r="G262" s="124">
        <v>0</v>
      </c>
      <c r="H262" s="138">
        <f t="shared" si="47"/>
        <v>36.39705882352941</v>
      </c>
      <c r="I262" s="71">
        <f t="shared" si="48"/>
        <v>33</v>
      </c>
      <c r="J262" s="62">
        <f t="shared" si="49"/>
        <v>2524.5</v>
      </c>
      <c r="K262" s="307"/>
      <c r="L262" s="410">
        <f>IF(OR(Калькуляция!$F262=3,),3,0)</f>
        <v>0</v>
      </c>
      <c r="M262" s="410">
        <f>IF(OR(Калькуляция!$F262=6,),6,0)</f>
        <v>0</v>
      </c>
      <c r="N262" s="410">
        <f>IF(OR(Калькуляция!$F262=9,),9,0)</f>
        <v>0</v>
      </c>
      <c r="O262" s="410">
        <f>IF(OR(Калькуляция!$F262=3,Калькуляция!$F262=6,Калькуляция!$F262=9,),369,0)</f>
        <v>0</v>
      </c>
      <c r="P262" s="67">
        <f t="shared" si="50"/>
        <v>0</v>
      </c>
      <c r="Q262" s="68">
        <f t="shared" si="51"/>
        <v>0</v>
      </c>
    </row>
    <row r="263" spans="1:17" s="29" customFormat="1" ht="12.75">
      <c r="A263" s="381">
        <f t="shared" si="52"/>
        <v>245</v>
      </c>
      <c r="B263" s="382" t="s">
        <v>433</v>
      </c>
      <c r="C263" s="383" t="s">
        <v>153</v>
      </c>
      <c r="D263" s="382" t="s">
        <v>120</v>
      </c>
      <c r="E263" s="122"/>
      <c r="F263" s="123">
        <v>1</v>
      </c>
      <c r="G263" s="124">
        <v>25</v>
      </c>
      <c r="H263" s="138">
        <f t="shared" si="47"/>
        <v>27.5</v>
      </c>
      <c r="I263" s="71">
        <f t="shared" si="48"/>
        <v>24.933333333333334</v>
      </c>
      <c r="J263" s="384">
        <f t="shared" si="49"/>
        <v>1907.4000000000003</v>
      </c>
      <c r="K263" s="307"/>
      <c r="L263" s="410">
        <f>IF(OR(Калькуляция!$F263=3,),3,0)</f>
        <v>0</v>
      </c>
      <c r="M263" s="410">
        <f>IF(OR(Калькуляция!$F263=6,),6,0)</f>
        <v>0</v>
      </c>
      <c r="N263" s="410">
        <f>IF(OR(Калькуляция!$F263=9,),9,0)</f>
        <v>0</v>
      </c>
      <c r="O263" s="410">
        <f>IF(OR(Калькуляция!$F263=3,Калькуляция!$F263=6,Калькуляция!$F263=9,),369,0)</f>
        <v>0</v>
      </c>
      <c r="P263" s="203">
        <f t="shared" si="50"/>
        <v>0</v>
      </c>
      <c r="Q263" s="68">
        <f t="shared" si="51"/>
        <v>0</v>
      </c>
    </row>
    <row r="264" spans="1:17" ht="35.25" customHeight="1">
      <c r="A264" s="479" t="s">
        <v>377</v>
      </c>
      <c r="B264" s="480"/>
      <c r="C264" s="480"/>
      <c r="D264" s="480"/>
      <c r="E264" s="480"/>
      <c r="F264" s="480"/>
      <c r="G264" s="480"/>
      <c r="H264" s="480"/>
      <c r="I264" s="480"/>
      <c r="J264" s="481"/>
      <c r="K264" s="385" t="str">
        <f>IF(Q264=0," ","Итого по разделу:")</f>
        <v>Итого по разделу:</v>
      </c>
      <c r="L264" s="410">
        <f>IF(OR(Калькуляция!$F264=3,),3,0)</f>
        <v>0</v>
      </c>
      <c r="M264" s="410">
        <f>IF(OR(Калькуляция!$F264=6,),6,0)</f>
        <v>0</v>
      </c>
      <c r="N264" s="410">
        <f>IF(OR(Калькуляция!$F264=9,),9,0)</f>
        <v>0</v>
      </c>
      <c r="O264" s="410">
        <f>IF(OR(Калькуляция!$F264=3,Калькуляция!$F264=6,Калькуляция!$F264=9,),369,0)</f>
        <v>0</v>
      </c>
      <c r="P264" s="311"/>
      <c r="Q264" s="310">
        <f>SUM(Q229:Q263)</f>
        <v>77728.3452</v>
      </c>
    </row>
    <row r="265" spans="1:17" ht="26.25" customHeight="1">
      <c r="A265" s="477" t="s">
        <v>378</v>
      </c>
      <c r="B265" s="475"/>
      <c r="C265" s="475"/>
      <c r="D265" s="475"/>
      <c r="E265" s="475"/>
      <c r="F265" s="475"/>
      <c r="G265" s="475"/>
      <c r="H265" s="475"/>
      <c r="I265" s="475"/>
      <c r="J265" s="478"/>
      <c r="K265" s="386" t="str">
        <f>IF(Q265=0," ",".")</f>
        <v>.</v>
      </c>
      <c r="L265" s="410">
        <f>IF(OR(Калькуляция!$F265=3,),3,0)</f>
        <v>0</v>
      </c>
      <c r="M265" s="410">
        <f>IF(OR(Калькуляция!$F265=6,),6,0)</f>
        <v>0</v>
      </c>
      <c r="N265" s="410">
        <f>IF(OR(Калькуляция!$F265=9,),9,0)</f>
        <v>0</v>
      </c>
      <c r="O265" s="410">
        <f>IF(OR(Калькуляция!$F265=3,Калькуляция!$F265=6,Калькуляция!$F265=9,),369,0)</f>
        <v>0</v>
      </c>
      <c r="P265" s="311"/>
      <c r="Q265" s="371" t="str">
        <f>IF(SUM(Q229:Q263)=0,0,".")</f>
        <v>.</v>
      </c>
    </row>
    <row r="266" spans="1:17" ht="25.5" customHeight="1">
      <c r="A266" s="477" t="s">
        <v>391</v>
      </c>
      <c r="B266" s="475"/>
      <c r="C266" s="475"/>
      <c r="D266" s="475"/>
      <c r="E266" s="475"/>
      <c r="F266" s="475"/>
      <c r="G266" s="475"/>
      <c r="H266" s="475"/>
      <c r="I266" s="475"/>
      <c r="J266" s="478"/>
      <c r="K266" s="386" t="str">
        <f>IF(Q266=0," ",".")</f>
        <v> </v>
      </c>
      <c r="L266" s="410">
        <f>IF(OR(Калькуляция!$F266=3,),3,0)</f>
        <v>0</v>
      </c>
      <c r="M266" s="410">
        <f>IF(OR(Калькуляция!$F266=6,),6,0)</f>
        <v>0</v>
      </c>
      <c r="N266" s="410">
        <f>IF(OR(Калькуляция!$F266=9,),9,0)</f>
        <v>0</v>
      </c>
      <c r="O266" s="410">
        <f>IF(OR(Калькуляция!$F266=3,Калькуляция!$F266=6,Калькуляция!$F266=9,),369,0)</f>
        <v>0</v>
      </c>
      <c r="P266" s="311"/>
      <c r="Q266" s="371">
        <f>IF(SUM(Q262:Q262)=0,0,".")</f>
        <v>0</v>
      </c>
    </row>
    <row r="267" spans="1:17" ht="22.5" customHeight="1">
      <c r="A267" s="477" t="s">
        <v>392</v>
      </c>
      <c r="B267" s="475"/>
      <c r="C267" s="475"/>
      <c r="D267" s="475"/>
      <c r="E267" s="475"/>
      <c r="F267" s="475"/>
      <c r="G267" s="475"/>
      <c r="H267" s="475"/>
      <c r="I267" s="475"/>
      <c r="J267" s="478"/>
      <c r="K267" s="386" t="str">
        <f>IF(Q267=0," ",".")</f>
        <v> </v>
      </c>
      <c r="L267" s="410">
        <f>IF(OR(Калькуляция!$F267=3,),3,0)</f>
        <v>0</v>
      </c>
      <c r="M267" s="410">
        <f>IF(OR(Калькуляция!$F267=6,),6,0)</f>
        <v>0</v>
      </c>
      <c r="N267" s="410">
        <f>IF(OR(Калькуляция!$F267=9,),9,0)</f>
        <v>0</v>
      </c>
      <c r="O267" s="410">
        <f>IF(OR(Калькуляция!$F267=3,Калькуляция!$F267=6,Калькуляция!$F267=9,),369,0)</f>
        <v>0</v>
      </c>
      <c r="P267" s="311"/>
      <c r="Q267" s="371">
        <f>IF(SUM(Q262:Q262)=0,0,".")</f>
        <v>0</v>
      </c>
    </row>
    <row r="268" spans="1:17" s="29" customFormat="1" ht="18.75" customHeight="1">
      <c r="A268" s="498" t="s">
        <v>306</v>
      </c>
      <c r="B268" s="499"/>
      <c r="C268" s="499"/>
      <c r="D268" s="499"/>
      <c r="E268" s="499"/>
      <c r="F268" s="499"/>
      <c r="G268" s="499"/>
      <c r="H268" s="499"/>
      <c r="I268" s="499"/>
      <c r="J268" s="499"/>
      <c r="K268" s="344" t="str">
        <f>IF(Q280=0," ","(Разд.08)")</f>
        <v> </v>
      </c>
      <c r="L268" s="410">
        <f>IF(OR(Калькуляция!$F268=3,),3,0)</f>
        <v>0</v>
      </c>
      <c r="M268" s="410">
        <f>IF(OR(Калькуляция!$F268=6,),6,0)</f>
        <v>0</v>
      </c>
      <c r="N268" s="410">
        <f>IF(OR(Калькуляция!$F268=9,),9,0)</f>
        <v>0</v>
      </c>
      <c r="O268" s="410">
        <f>IF(OR(Калькуляция!$F268=3,Калькуляция!$F268=6,Калькуляция!$F268=9,),369,0)</f>
        <v>0</v>
      </c>
      <c r="P268" s="308"/>
      <c r="Q268" s="308"/>
    </row>
    <row r="269" spans="1:17" s="29" customFormat="1" ht="12.75">
      <c r="A269" s="319">
        <f aca="true" t="shared" si="53" ref="A269:A278">ROW()-18</f>
        <v>251</v>
      </c>
      <c r="B269" s="52" t="s">
        <v>138</v>
      </c>
      <c r="C269" s="130" t="s">
        <v>139</v>
      </c>
      <c r="D269" s="131" t="s">
        <v>27</v>
      </c>
      <c r="E269" s="122"/>
      <c r="F269" s="123">
        <v>1</v>
      </c>
      <c r="G269" s="124">
        <v>0</v>
      </c>
      <c r="H269" s="138">
        <f aca="true" t="shared" si="54" ref="H269:H279">I269/$L$358</f>
        <v>0</v>
      </c>
      <c r="I269" s="71">
        <f aca="true" t="shared" si="55" ref="I269:I279">$J$7*(E269+PRODUCT(G269,$L$358))*IF(OR(F269=1,F269=10),(100-$D$15)/100,IF(OR(F269=3,F269=6,F269=9),(100-$D$16)/100,IF(OR(F269=2,F269=4),(100-$D$17)/100,1)))</f>
        <v>0</v>
      </c>
      <c r="J269" s="62">
        <f aca="true" t="shared" si="56" ref="J269:J279">PRODUCT(I269,1/$L$358,$L$357,1.02)</f>
        <v>0</v>
      </c>
      <c r="K269" s="307"/>
      <c r="L269" s="410">
        <f>IF(OR(Калькуляция!$F269=3,),3,0)</f>
        <v>0</v>
      </c>
      <c r="M269" s="410">
        <f>IF(OR(Калькуляция!$F269=6,),6,0)</f>
        <v>0</v>
      </c>
      <c r="N269" s="410">
        <f>IF(OR(Калькуляция!$F269=9,),9,0)</f>
        <v>0</v>
      </c>
      <c r="O269" s="410">
        <f>IF(OR(Калькуляция!$F269=3,Калькуляция!$F269=6,Калькуляция!$F269=9,),369,0)</f>
        <v>0</v>
      </c>
      <c r="P269" s="67">
        <f aca="true" t="shared" si="57" ref="P269:P279">I269*K269</f>
        <v>0</v>
      </c>
      <c r="Q269" s="68">
        <f aca="true" t="shared" si="58" ref="Q269:Q279">J269*K269</f>
        <v>0</v>
      </c>
    </row>
    <row r="270" spans="1:17" s="29" customFormat="1" ht="12.75">
      <c r="A270" s="319">
        <f t="shared" si="53"/>
        <v>252</v>
      </c>
      <c r="B270" s="52" t="s">
        <v>232</v>
      </c>
      <c r="C270" s="130" t="s">
        <v>268</v>
      </c>
      <c r="D270" s="131" t="s">
        <v>27</v>
      </c>
      <c r="E270" s="122"/>
      <c r="F270" s="123">
        <v>1</v>
      </c>
      <c r="G270" s="124">
        <v>120</v>
      </c>
      <c r="H270" s="138">
        <f t="shared" si="54"/>
        <v>132</v>
      </c>
      <c r="I270" s="71">
        <f t="shared" si="55"/>
        <v>119.68</v>
      </c>
      <c r="J270" s="62">
        <f t="shared" si="56"/>
        <v>9155.520000000002</v>
      </c>
      <c r="K270" s="307"/>
      <c r="L270" s="410">
        <f>IF(OR(Калькуляция!$F270=3,),3,0)</f>
        <v>0</v>
      </c>
      <c r="M270" s="410">
        <f>IF(OR(Калькуляция!$F270=6,),6,0)</f>
        <v>0</v>
      </c>
      <c r="N270" s="410">
        <f>IF(OR(Калькуляция!$F270=9,),9,0)</f>
        <v>0</v>
      </c>
      <c r="O270" s="410">
        <f>IF(OR(Калькуляция!$F270=3,Калькуляция!$F270=6,Калькуляция!$F270=9,),369,0)</f>
        <v>0</v>
      </c>
      <c r="P270" s="67">
        <f t="shared" si="57"/>
        <v>0</v>
      </c>
      <c r="Q270" s="68">
        <f t="shared" si="58"/>
        <v>0</v>
      </c>
    </row>
    <row r="271" spans="1:17" s="236" customFormat="1" ht="12.75">
      <c r="A271" s="326">
        <f t="shared" si="53"/>
        <v>253</v>
      </c>
      <c r="B271" s="226" t="s">
        <v>225</v>
      </c>
      <c r="C271" s="237"/>
      <c r="D271" s="238" t="s">
        <v>141</v>
      </c>
      <c r="E271" s="239">
        <v>20</v>
      </c>
      <c r="F271" s="240">
        <v>6</v>
      </c>
      <c r="G271" s="241">
        <v>0</v>
      </c>
      <c r="H271" s="138">
        <f t="shared" si="54"/>
        <v>19.411764705882355</v>
      </c>
      <c r="I271" s="71">
        <f t="shared" si="55"/>
        <v>17.6</v>
      </c>
      <c r="J271" s="233">
        <f t="shared" si="56"/>
        <v>1346.4000000000003</v>
      </c>
      <c r="K271" s="307"/>
      <c r="L271" s="410">
        <f>IF(OR(Калькуляция!$F271=3,),3,0)</f>
        <v>0</v>
      </c>
      <c r="M271" s="410">
        <f>IF(OR(Калькуляция!$F271=6,),6,0)</f>
        <v>6</v>
      </c>
      <c r="N271" s="410">
        <f>IF(OR(Калькуляция!$F271=9,),9,0)</f>
        <v>0</v>
      </c>
      <c r="O271" s="410">
        <f>IF(OR(Калькуляция!$F271=3,Калькуляция!$F271=6,Калькуляция!$F271=9,),369,0)</f>
        <v>369</v>
      </c>
      <c r="P271" s="234">
        <f t="shared" si="57"/>
        <v>0</v>
      </c>
      <c r="Q271" s="235">
        <f t="shared" si="58"/>
        <v>0</v>
      </c>
    </row>
    <row r="272" spans="1:17" s="236" customFormat="1" ht="12.75">
      <c r="A272" s="326">
        <f t="shared" si="53"/>
        <v>254</v>
      </c>
      <c r="B272" s="226" t="s">
        <v>224</v>
      </c>
      <c r="C272" s="237"/>
      <c r="D272" s="238" t="s">
        <v>141</v>
      </c>
      <c r="E272" s="239">
        <v>10</v>
      </c>
      <c r="F272" s="240">
        <v>6</v>
      </c>
      <c r="G272" s="241">
        <v>0</v>
      </c>
      <c r="H272" s="138">
        <f t="shared" si="54"/>
        <v>9.705882352941178</v>
      </c>
      <c r="I272" s="71">
        <f t="shared" si="55"/>
        <v>8.8</v>
      </c>
      <c r="J272" s="233">
        <f t="shared" si="56"/>
        <v>673.2000000000002</v>
      </c>
      <c r="K272" s="307"/>
      <c r="L272" s="410">
        <f>IF(OR(Калькуляция!$F272=3,),3,0)</f>
        <v>0</v>
      </c>
      <c r="M272" s="410">
        <f>IF(OR(Калькуляция!$F272=6,),6,0)</f>
        <v>6</v>
      </c>
      <c r="N272" s="410">
        <f>IF(OR(Калькуляция!$F272=9,),9,0)</f>
        <v>0</v>
      </c>
      <c r="O272" s="410">
        <f>IF(OR(Калькуляция!$F272=3,Калькуляция!$F272=6,Калькуляция!$F272=9,),369,0)</f>
        <v>369</v>
      </c>
      <c r="P272" s="234">
        <f t="shared" si="57"/>
        <v>0</v>
      </c>
      <c r="Q272" s="235">
        <f t="shared" si="58"/>
        <v>0</v>
      </c>
    </row>
    <row r="273" spans="1:17" s="236" customFormat="1" ht="12.75">
      <c r="A273" s="326">
        <f t="shared" si="53"/>
        <v>255</v>
      </c>
      <c r="B273" s="226" t="s">
        <v>223</v>
      </c>
      <c r="C273" s="237"/>
      <c r="D273" s="238" t="s">
        <v>141</v>
      </c>
      <c r="E273" s="239">
        <v>25</v>
      </c>
      <c r="F273" s="240">
        <v>3</v>
      </c>
      <c r="G273" s="241">
        <v>0</v>
      </c>
      <c r="H273" s="138">
        <f t="shared" si="54"/>
        <v>24.264705882352946</v>
      </c>
      <c r="I273" s="71">
        <f t="shared" si="55"/>
        <v>22.000000000000004</v>
      </c>
      <c r="J273" s="233">
        <f t="shared" si="56"/>
        <v>1683.0000000000002</v>
      </c>
      <c r="K273" s="307"/>
      <c r="L273" s="410">
        <f>IF(OR(Калькуляция!$F273=3,),3,0)</f>
        <v>3</v>
      </c>
      <c r="M273" s="410">
        <f>IF(OR(Калькуляция!$F273=6,),6,0)</f>
        <v>0</v>
      </c>
      <c r="N273" s="410">
        <f>IF(OR(Калькуляция!$F273=9,),9,0)</f>
        <v>0</v>
      </c>
      <c r="O273" s="410">
        <f>IF(OR(Калькуляция!$F273=3,Калькуляция!$F273=6,Калькуляция!$F273=9,),369,0)</f>
        <v>369</v>
      </c>
      <c r="P273" s="234">
        <f t="shared" si="57"/>
        <v>0</v>
      </c>
      <c r="Q273" s="235">
        <f t="shared" si="58"/>
        <v>0</v>
      </c>
    </row>
    <row r="274" spans="1:17" s="29" customFormat="1" ht="12.75">
      <c r="A274" s="319">
        <f t="shared" si="53"/>
        <v>256</v>
      </c>
      <c r="B274" s="52" t="s">
        <v>142</v>
      </c>
      <c r="C274" s="130" t="s">
        <v>143</v>
      </c>
      <c r="D274" s="131" t="s">
        <v>27</v>
      </c>
      <c r="E274" s="122"/>
      <c r="F274" s="123">
        <v>1</v>
      </c>
      <c r="G274" s="124">
        <v>30</v>
      </c>
      <c r="H274" s="138">
        <f t="shared" si="54"/>
        <v>33</v>
      </c>
      <c r="I274" s="71">
        <f t="shared" si="55"/>
        <v>29.92</v>
      </c>
      <c r="J274" s="62">
        <f t="shared" si="56"/>
        <v>2288.8800000000006</v>
      </c>
      <c r="K274" s="307"/>
      <c r="L274" s="410">
        <f>IF(OR(Калькуляция!$F274=3,),3,0)</f>
        <v>0</v>
      </c>
      <c r="M274" s="410">
        <f>IF(OR(Калькуляция!$F274=6,),6,0)</f>
        <v>0</v>
      </c>
      <c r="N274" s="410">
        <f>IF(OR(Калькуляция!$F274=9,),9,0)</f>
        <v>0</v>
      </c>
      <c r="O274" s="410">
        <f>IF(OR(Калькуляция!$F274=3,Калькуляция!$F274=6,Калькуляция!$F274=9,),369,0)</f>
        <v>0</v>
      </c>
      <c r="P274" s="67">
        <f t="shared" si="57"/>
        <v>0</v>
      </c>
      <c r="Q274" s="68">
        <f t="shared" si="58"/>
        <v>0</v>
      </c>
    </row>
    <row r="275" spans="1:17" s="29" customFormat="1" ht="12.75">
      <c r="A275" s="319">
        <f t="shared" si="53"/>
        <v>257</v>
      </c>
      <c r="B275" s="52" t="s">
        <v>144</v>
      </c>
      <c r="C275" s="130" t="s">
        <v>145</v>
      </c>
      <c r="D275" s="131" t="s">
        <v>27</v>
      </c>
      <c r="E275" s="122"/>
      <c r="F275" s="123">
        <v>1</v>
      </c>
      <c r="G275" s="124">
        <v>44</v>
      </c>
      <c r="H275" s="138">
        <f t="shared" si="54"/>
        <v>48.4</v>
      </c>
      <c r="I275" s="71">
        <f t="shared" si="55"/>
        <v>43.882666666666665</v>
      </c>
      <c r="J275" s="62">
        <f t="shared" si="56"/>
        <v>3357.024</v>
      </c>
      <c r="K275" s="307"/>
      <c r="L275" s="410">
        <f>IF(OR(Калькуляция!$F275=3,),3,0)</f>
        <v>0</v>
      </c>
      <c r="M275" s="410">
        <f>IF(OR(Калькуляция!$F275=6,),6,0)</f>
        <v>0</v>
      </c>
      <c r="N275" s="410">
        <f>IF(OR(Калькуляция!$F275=9,),9,0)</f>
        <v>0</v>
      </c>
      <c r="O275" s="410">
        <f>IF(OR(Калькуляция!$F275=3,Калькуляция!$F275=6,Калькуляция!$F275=9,),369,0)</f>
        <v>0</v>
      </c>
      <c r="P275" s="67">
        <f t="shared" si="57"/>
        <v>0</v>
      </c>
      <c r="Q275" s="68">
        <f t="shared" si="58"/>
        <v>0</v>
      </c>
    </row>
    <row r="276" spans="1:17" s="29" customFormat="1" ht="12.75">
      <c r="A276" s="319">
        <f t="shared" si="53"/>
        <v>258</v>
      </c>
      <c r="B276" s="52" t="s">
        <v>193</v>
      </c>
      <c r="C276" s="130"/>
      <c r="D276" s="131" t="s">
        <v>27</v>
      </c>
      <c r="E276" s="122"/>
      <c r="F276" s="123">
        <v>1</v>
      </c>
      <c r="G276" s="124">
        <v>30</v>
      </c>
      <c r="H276" s="138">
        <f t="shared" si="54"/>
        <v>33</v>
      </c>
      <c r="I276" s="71">
        <f t="shared" si="55"/>
        <v>29.92</v>
      </c>
      <c r="J276" s="62">
        <f t="shared" si="56"/>
        <v>2288.8800000000006</v>
      </c>
      <c r="K276" s="307"/>
      <c r="L276" s="410">
        <f>IF(OR(Калькуляция!$F276=3,),3,0)</f>
        <v>0</v>
      </c>
      <c r="M276" s="410">
        <f>IF(OR(Калькуляция!$F276=6,),6,0)</f>
        <v>0</v>
      </c>
      <c r="N276" s="410">
        <f>IF(OR(Калькуляция!$F276=9,),9,0)</f>
        <v>0</v>
      </c>
      <c r="O276" s="410">
        <f>IF(OR(Калькуляция!$F276=3,Калькуляция!$F276=6,Калькуляция!$F276=9,),369,0)</f>
        <v>0</v>
      </c>
      <c r="P276" s="67">
        <f t="shared" si="57"/>
        <v>0</v>
      </c>
      <c r="Q276" s="68">
        <f t="shared" si="58"/>
        <v>0</v>
      </c>
    </row>
    <row r="277" spans="1:17" s="29" customFormat="1" ht="12.75">
      <c r="A277" s="319">
        <f t="shared" si="53"/>
        <v>259</v>
      </c>
      <c r="B277" s="52" t="s">
        <v>146</v>
      </c>
      <c r="C277" s="130" t="s">
        <v>140</v>
      </c>
      <c r="D277" s="131" t="s">
        <v>27</v>
      </c>
      <c r="E277" s="122"/>
      <c r="F277" s="123">
        <v>1</v>
      </c>
      <c r="G277" s="124">
        <v>125</v>
      </c>
      <c r="H277" s="138">
        <f t="shared" si="54"/>
        <v>137.5</v>
      </c>
      <c r="I277" s="71">
        <f t="shared" si="55"/>
        <v>124.66666666666667</v>
      </c>
      <c r="J277" s="62">
        <f t="shared" si="56"/>
        <v>9537.000000000002</v>
      </c>
      <c r="K277" s="307"/>
      <c r="L277" s="410">
        <f>IF(OR(Калькуляция!$F277=3,),3,0)</f>
        <v>0</v>
      </c>
      <c r="M277" s="410">
        <f>IF(OR(Калькуляция!$F277=6,),6,0)</f>
        <v>0</v>
      </c>
      <c r="N277" s="410">
        <f>IF(OR(Калькуляция!$F277=9,),9,0)</f>
        <v>0</v>
      </c>
      <c r="O277" s="410">
        <f>IF(OR(Калькуляция!$F277=3,Калькуляция!$F277=6,Калькуляция!$F277=9,),369,0)</f>
        <v>0</v>
      </c>
      <c r="P277" s="67">
        <f t="shared" si="57"/>
        <v>0</v>
      </c>
      <c r="Q277" s="68">
        <f t="shared" si="58"/>
        <v>0</v>
      </c>
    </row>
    <row r="278" spans="1:17" s="29" customFormat="1" ht="12.75">
      <c r="A278" s="319">
        <f t="shared" si="53"/>
        <v>260</v>
      </c>
      <c r="B278" s="52" t="s">
        <v>147</v>
      </c>
      <c r="C278" s="130" t="s">
        <v>140</v>
      </c>
      <c r="D278" s="131" t="s">
        <v>27</v>
      </c>
      <c r="E278" s="122"/>
      <c r="F278" s="123">
        <v>1</v>
      </c>
      <c r="G278" s="124">
        <v>377</v>
      </c>
      <c r="H278" s="138">
        <f t="shared" si="54"/>
        <v>414.7000000000001</v>
      </c>
      <c r="I278" s="71">
        <f t="shared" si="55"/>
        <v>375.9946666666667</v>
      </c>
      <c r="J278" s="62">
        <f t="shared" si="56"/>
        <v>28763.592000000008</v>
      </c>
      <c r="K278" s="307"/>
      <c r="L278" s="410">
        <f>IF(OR(Калькуляция!$F278=3,),3,0)</f>
        <v>0</v>
      </c>
      <c r="M278" s="410">
        <f>IF(OR(Калькуляция!$F278=6,),6,0)</f>
        <v>0</v>
      </c>
      <c r="N278" s="410">
        <f>IF(OR(Калькуляция!$F278=9,),9,0)</f>
        <v>0</v>
      </c>
      <c r="O278" s="410">
        <f>IF(OR(Калькуляция!$F278=3,Калькуляция!$F278=6,Калькуляция!$F278=9,),369,0)</f>
        <v>0</v>
      </c>
      <c r="P278" s="67">
        <f t="shared" si="57"/>
        <v>0</v>
      </c>
      <c r="Q278" s="68">
        <f t="shared" si="58"/>
        <v>0</v>
      </c>
    </row>
    <row r="279" spans="1:17" s="29" customFormat="1" ht="12.75">
      <c r="A279" s="319">
        <f>ROW()-18</f>
        <v>261</v>
      </c>
      <c r="B279" s="52" t="s">
        <v>125</v>
      </c>
      <c r="C279" s="121" t="s">
        <v>126</v>
      </c>
      <c r="D279" s="52" t="s">
        <v>27</v>
      </c>
      <c r="E279" s="122">
        <v>3</v>
      </c>
      <c r="F279" s="123">
        <v>1</v>
      </c>
      <c r="G279" s="124">
        <v>0</v>
      </c>
      <c r="H279" s="138">
        <f t="shared" si="54"/>
        <v>3.6397058823529416</v>
      </c>
      <c r="I279" s="71">
        <f t="shared" si="55"/>
        <v>3.3000000000000003</v>
      </c>
      <c r="J279" s="62">
        <f t="shared" si="56"/>
        <v>252.45000000000005</v>
      </c>
      <c r="K279" s="307"/>
      <c r="L279" s="410">
        <f>IF(OR(Калькуляция!$F279=3,),3,0)</f>
        <v>0</v>
      </c>
      <c r="M279" s="410">
        <f>IF(OR(Калькуляция!$F279=6,),6,0)</f>
        <v>0</v>
      </c>
      <c r="N279" s="410">
        <f>IF(OR(Калькуляция!$F279=9,),9,0)</f>
        <v>0</v>
      </c>
      <c r="O279" s="410">
        <f>IF(OR(Калькуляция!$F279=3,Калькуляция!$F279=6,Калькуляция!$F279=9,),369,0)</f>
        <v>0</v>
      </c>
      <c r="P279" s="67">
        <f t="shared" si="57"/>
        <v>0</v>
      </c>
      <c r="Q279" s="68">
        <f t="shared" si="58"/>
        <v>0</v>
      </c>
    </row>
    <row r="280" spans="1:17" ht="25.5" customHeight="1">
      <c r="A280" s="504"/>
      <c r="B280" s="467"/>
      <c r="C280" s="467"/>
      <c r="D280" s="467"/>
      <c r="E280" s="467"/>
      <c r="F280" s="467"/>
      <c r="G280" s="467"/>
      <c r="H280" s="467"/>
      <c r="I280" s="467"/>
      <c r="J280" s="467"/>
      <c r="K280" s="345" t="str">
        <f>IF(Q280=0," ","Итого по разделу:")</f>
        <v> </v>
      </c>
      <c r="L280" s="410">
        <f>IF(OR(Калькуляция!$F280=3,),3,0)</f>
        <v>0</v>
      </c>
      <c r="M280" s="410">
        <f>IF(OR(Калькуляция!$F280=6,),6,0)</f>
        <v>0</v>
      </c>
      <c r="N280" s="410">
        <f>IF(OR(Калькуляция!$F280=9,),9,0)</f>
        <v>0</v>
      </c>
      <c r="O280" s="410">
        <f>IF(OR(Калькуляция!$F280=3,Калькуляция!$F280=6,Калькуляция!$F280=9,),369,0)</f>
        <v>0</v>
      </c>
      <c r="P280" s="311"/>
      <c r="Q280" s="310">
        <f>SUM(Q269:Q279)</f>
        <v>0</v>
      </c>
    </row>
    <row r="281" spans="1:17" s="29" customFormat="1" ht="18.75" customHeight="1">
      <c r="A281" s="469" t="s">
        <v>303</v>
      </c>
      <c r="B281" s="470"/>
      <c r="C281" s="470"/>
      <c r="D281" s="470"/>
      <c r="E281" s="470"/>
      <c r="F281" s="470"/>
      <c r="G281" s="470"/>
      <c r="H281" s="470"/>
      <c r="I281" s="470"/>
      <c r="J281" s="470"/>
      <c r="K281" s="344" t="str">
        <f>IF(Q293=0," ","(Разд.09)")</f>
        <v>(Разд.09)</v>
      </c>
      <c r="L281" s="410">
        <f>IF(OR(Калькуляция!$F281=3,),3,0)</f>
        <v>0</v>
      </c>
      <c r="M281" s="410">
        <f>IF(OR(Калькуляция!$F281=6,),6,0)</f>
        <v>0</v>
      </c>
      <c r="N281" s="410">
        <f>IF(OR(Калькуляция!$F281=9,),9,0)</f>
        <v>0</v>
      </c>
      <c r="O281" s="410">
        <f>IF(OR(Калькуляция!$F281=3,Калькуляция!$F281=6,Калькуляция!$F281=9,),369,0)</f>
        <v>0</v>
      </c>
      <c r="P281" s="308"/>
      <c r="Q281" s="308"/>
    </row>
    <row r="282" spans="1:17" s="29" customFormat="1" ht="12.75">
      <c r="A282" s="325">
        <f aca="true" t="shared" si="59" ref="A282:A292">ROW()-18</f>
        <v>264</v>
      </c>
      <c r="B282" s="50" t="s">
        <v>109</v>
      </c>
      <c r="C282" s="291" t="s">
        <v>258</v>
      </c>
      <c r="D282" s="50" t="s">
        <v>27</v>
      </c>
      <c r="E282" s="118"/>
      <c r="F282" s="65">
        <v>1</v>
      </c>
      <c r="G282" s="66">
        <v>76.12</v>
      </c>
      <c r="H282" s="138">
        <f aca="true" t="shared" si="60" ref="H282:H292">I282/$L$358</f>
        <v>83.73200000000001</v>
      </c>
      <c r="I282" s="71">
        <f aca="true" t="shared" si="61" ref="I282:I292">$J$7*(E282+PRODUCT(G282,$L$358))*IF(OR(F282=1,F282=10),(100-$D$15)/100,IF(OR(F282=3,F282=6,F282=9),(100-$D$16)/100,IF(OR(F282=2,F282=4),(100-$D$17)/100,1)))</f>
        <v>75.91701333333334</v>
      </c>
      <c r="J282" s="62">
        <f>PRODUCT(I282,1/$L$358,$L$357,1.02)*0.8</f>
        <v>4646.121216000001</v>
      </c>
      <c r="K282" s="307">
        <v>1</v>
      </c>
      <c r="L282" s="410">
        <f>IF(OR(Калькуляция!$F282=3,),3,0)</f>
        <v>0</v>
      </c>
      <c r="M282" s="410">
        <f>IF(OR(Калькуляция!$F282=6,),6,0)</f>
        <v>0</v>
      </c>
      <c r="N282" s="410">
        <f>IF(OR(Калькуляция!$F282=9,),9,0)</f>
        <v>0</v>
      </c>
      <c r="O282" s="410">
        <f>IF(OR(Калькуляция!$F282=3,Калькуляция!$F282=6,Калькуляция!$F282=9,),369,0)</f>
        <v>0</v>
      </c>
      <c r="P282" s="67">
        <f aca="true" t="shared" si="62" ref="P282:P292">I282*K282</f>
        <v>75.91701333333334</v>
      </c>
      <c r="Q282" s="68">
        <f aca="true" t="shared" si="63" ref="Q282:Q292">J282*K282</f>
        <v>4646.121216000001</v>
      </c>
    </row>
    <row r="283" spans="1:17" s="29" customFormat="1" ht="12.75">
      <c r="A283" s="325">
        <f t="shared" si="59"/>
        <v>265</v>
      </c>
      <c r="B283" s="50" t="s">
        <v>110</v>
      </c>
      <c r="C283" s="292" t="s">
        <v>259</v>
      </c>
      <c r="D283" s="50" t="s">
        <v>27</v>
      </c>
      <c r="E283" s="118"/>
      <c r="F283" s="65">
        <v>1</v>
      </c>
      <c r="G283" s="66">
        <v>54</v>
      </c>
      <c r="H283" s="138">
        <f t="shared" si="60"/>
        <v>59.40000000000001</v>
      </c>
      <c r="I283" s="71">
        <f t="shared" si="61"/>
        <v>53.85600000000001</v>
      </c>
      <c r="J283" s="62">
        <f aca="true" t="shared" si="64" ref="J283:J292">PRODUCT(I283,1/$L$358,$L$357,1.02)</f>
        <v>4119.984</v>
      </c>
      <c r="K283" s="307"/>
      <c r="L283" s="410">
        <f>IF(OR(Калькуляция!$F283=3,),3,0)</f>
        <v>0</v>
      </c>
      <c r="M283" s="410">
        <f>IF(OR(Калькуляция!$F283=6,),6,0)</f>
        <v>0</v>
      </c>
      <c r="N283" s="410">
        <f>IF(OR(Калькуляция!$F283=9,),9,0)</f>
        <v>0</v>
      </c>
      <c r="O283" s="410">
        <f>IF(OR(Калькуляция!$F283=3,Калькуляция!$F283=6,Калькуляция!$F283=9,),369,0)</f>
        <v>0</v>
      </c>
      <c r="P283" s="67">
        <f t="shared" si="62"/>
        <v>0</v>
      </c>
      <c r="Q283" s="68">
        <f t="shared" si="63"/>
        <v>0</v>
      </c>
    </row>
    <row r="284" spans="1:17" s="29" customFormat="1" ht="12.75">
      <c r="A284" s="325">
        <f t="shared" si="59"/>
        <v>266</v>
      </c>
      <c r="B284" s="50" t="s">
        <v>463</v>
      </c>
      <c r="C284" s="292" t="s">
        <v>259</v>
      </c>
      <c r="D284" s="50" t="s">
        <v>27</v>
      </c>
      <c r="E284" s="118"/>
      <c r="F284" s="65">
        <v>1</v>
      </c>
      <c r="G284" s="66">
        <v>28</v>
      </c>
      <c r="H284" s="138">
        <f t="shared" si="60"/>
        <v>30.800000000000004</v>
      </c>
      <c r="I284" s="71">
        <f t="shared" si="61"/>
        <v>27.925333333333334</v>
      </c>
      <c r="J284" s="62">
        <f t="shared" si="64"/>
        <v>2136.288</v>
      </c>
      <c r="K284" s="307"/>
      <c r="L284" s="410">
        <f>IF(OR(Калькуляция!$F284=3,),3,0)</f>
        <v>0</v>
      </c>
      <c r="M284" s="410">
        <f>IF(OR(Калькуляция!$F284=6,),6,0)</f>
        <v>0</v>
      </c>
      <c r="N284" s="410">
        <f>IF(OR(Калькуляция!$F284=9,),9,0)</f>
        <v>0</v>
      </c>
      <c r="O284" s="410">
        <f>IF(OR(Калькуляция!$F284=3,Калькуляция!$F284=6,Калькуляция!$F284=9,),369,0)</f>
        <v>0</v>
      </c>
      <c r="P284" s="67">
        <f t="shared" si="62"/>
        <v>0</v>
      </c>
      <c r="Q284" s="68">
        <f t="shared" si="63"/>
        <v>0</v>
      </c>
    </row>
    <row r="285" spans="1:17" s="29" customFormat="1" ht="12.75">
      <c r="A285" s="325">
        <f t="shared" si="59"/>
        <v>267</v>
      </c>
      <c r="B285" s="50" t="s">
        <v>111</v>
      </c>
      <c r="C285" s="292" t="s">
        <v>259</v>
      </c>
      <c r="D285" s="50" t="s">
        <v>27</v>
      </c>
      <c r="E285" s="118"/>
      <c r="F285" s="65">
        <v>1</v>
      </c>
      <c r="G285" s="66">
        <v>29</v>
      </c>
      <c r="H285" s="138">
        <f t="shared" si="60"/>
        <v>31.900000000000002</v>
      </c>
      <c r="I285" s="71">
        <f t="shared" si="61"/>
        <v>28.922666666666668</v>
      </c>
      <c r="J285" s="62">
        <f t="shared" si="64"/>
        <v>2212.5840000000003</v>
      </c>
      <c r="K285" s="307">
        <v>1</v>
      </c>
      <c r="L285" s="410">
        <f>IF(OR(Калькуляция!$F285=3,),3,0)</f>
        <v>0</v>
      </c>
      <c r="M285" s="410">
        <f>IF(OR(Калькуляция!$F285=6,),6,0)</f>
        <v>0</v>
      </c>
      <c r="N285" s="410">
        <f>IF(OR(Калькуляция!$F285=9,),9,0)</f>
        <v>0</v>
      </c>
      <c r="O285" s="410">
        <f>IF(OR(Калькуляция!$F285=3,Калькуляция!$F285=6,Калькуляция!$F285=9,),369,0)</f>
        <v>0</v>
      </c>
      <c r="P285" s="67">
        <f t="shared" si="62"/>
        <v>28.922666666666668</v>
      </c>
      <c r="Q285" s="68">
        <f t="shared" si="63"/>
        <v>2212.5840000000003</v>
      </c>
    </row>
    <row r="286" spans="1:17" s="29" customFormat="1" ht="12.75">
      <c r="A286" s="325">
        <f t="shared" si="59"/>
        <v>268</v>
      </c>
      <c r="B286" s="50" t="s">
        <v>112</v>
      </c>
      <c r="C286" s="292" t="s">
        <v>260</v>
      </c>
      <c r="D286" s="50" t="s">
        <v>27</v>
      </c>
      <c r="E286" s="118"/>
      <c r="F286" s="65">
        <v>1</v>
      </c>
      <c r="G286" s="66">
        <v>56.2</v>
      </c>
      <c r="H286" s="138">
        <f t="shared" si="60"/>
        <v>61.820000000000014</v>
      </c>
      <c r="I286" s="71">
        <f t="shared" si="61"/>
        <v>56.05013333333334</v>
      </c>
      <c r="J286" s="62">
        <f t="shared" si="64"/>
        <v>4287.835200000001</v>
      </c>
      <c r="K286" s="307"/>
      <c r="L286" s="410">
        <f>IF(OR(Калькуляция!$F286=3,),3,0)</f>
        <v>0</v>
      </c>
      <c r="M286" s="410">
        <f>IF(OR(Калькуляция!$F286=6,),6,0)</f>
        <v>0</v>
      </c>
      <c r="N286" s="410">
        <f>IF(OR(Калькуляция!$F286=9,),9,0)</f>
        <v>0</v>
      </c>
      <c r="O286" s="410">
        <f>IF(OR(Калькуляция!$F286=3,Калькуляция!$F286=6,Калькуляция!$F286=9,),369,0)</f>
        <v>0</v>
      </c>
      <c r="P286" s="67">
        <f t="shared" si="62"/>
        <v>0</v>
      </c>
      <c r="Q286" s="68">
        <f t="shared" si="63"/>
        <v>0</v>
      </c>
    </row>
    <row r="287" spans="1:17" s="29" customFormat="1" ht="12.75">
      <c r="A287" s="325">
        <f t="shared" si="59"/>
        <v>269</v>
      </c>
      <c r="B287" s="50" t="s">
        <v>113</v>
      </c>
      <c r="C287" s="292" t="s">
        <v>261</v>
      </c>
      <c r="D287" s="50" t="s">
        <v>27</v>
      </c>
      <c r="E287" s="118"/>
      <c r="F287" s="65">
        <v>1</v>
      </c>
      <c r="G287" s="66">
        <v>23</v>
      </c>
      <c r="H287" s="138">
        <f t="shared" si="60"/>
        <v>25.3</v>
      </c>
      <c r="I287" s="71">
        <f t="shared" si="61"/>
        <v>22.938666666666666</v>
      </c>
      <c r="J287" s="62">
        <f t="shared" si="64"/>
        <v>1754.8080000000002</v>
      </c>
      <c r="K287" s="307"/>
      <c r="L287" s="410">
        <f>IF(OR(Калькуляция!$F287=3,),3,0)</f>
        <v>0</v>
      </c>
      <c r="M287" s="410">
        <f>IF(OR(Калькуляция!$F287=6,),6,0)</f>
        <v>0</v>
      </c>
      <c r="N287" s="410">
        <f>IF(OR(Калькуляция!$F287=9,),9,0)</f>
        <v>0</v>
      </c>
      <c r="O287" s="410">
        <f>IF(OR(Калькуляция!$F287=3,Калькуляция!$F287=6,Калькуляция!$F287=9,),369,0)</f>
        <v>0</v>
      </c>
      <c r="P287" s="67">
        <f t="shared" si="62"/>
        <v>0</v>
      </c>
      <c r="Q287" s="68">
        <f t="shared" si="63"/>
        <v>0</v>
      </c>
    </row>
    <row r="288" spans="1:17" s="29" customFormat="1" ht="12.75">
      <c r="A288" s="325">
        <f t="shared" si="59"/>
        <v>270</v>
      </c>
      <c r="B288" s="50" t="s">
        <v>114</v>
      </c>
      <c r="C288" s="292" t="s">
        <v>262</v>
      </c>
      <c r="D288" s="50" t="s">
        <v>27</v>
      </c>
      <c r="E288" s="118"/>
      <c r="F288" s="65">
        <v>1</v>
      </c>
      <c r="G288" s="66">
        <v>21.78</v>
      </c>
      <c r="H288" s="138">
        <f t="shared" si="60"/>
        <v>23.958000000000002</v>
      </c>
      <c r="I288" s="71">
        <f t="shared" si="61"/>
        <v>21.72192</v>
      </c>
      <c r="J288" s="62">
        <f t="shared" si="64"/>
        <v>1661.7268800000002</v>
      </c>
      <c r="K288" s="307"/>
      <c r="L288" s="410">
        <f>IF(OR(Калькуляция!$F288=3,),3,0)</f>
        <v>0</v>
      </c>
      <c r="M288" s="410">
        <f>IF(OR(Калькуляция!$F288=6,),6,0)</f>
        <v>0</v>
      </c>
      <c r="N288" s="410">
        <f>IF(OR(Калькуляция!$F288=9,),9,0)</f>
        <v>0</v>
      </c>
      <c r="O288" s="410">
        <f>IF(OR(Калькуляция!$F288=3,Калькуляция!$F288=6,Калькуляция!$F288=9,),369,0)</f>
        <v>0</v>
      </c>
      <c r="P288" s="67">
        <f t="shared" si="62"/>
        <v>0</v>
      </c>
      <c r="Q288" s="68">
        <f t="shared" si="63"/>
        <v>0</v>
      </c>
    </row>
    <row r="289" spans="1:17" s="29" customFormat="1" ht="12.75">
      <c r="A289" s="325">
        <f t="shared" si="59"/>
        <v>271</v>
      </c>
      <c r="B289" s="50" t="s">
        <v>211</v>
      </c>
      <c r="C289" s="292" t="s">
        <v>262</v>
      </c>
      <c r="D289" s="50" t="s">
        <v>27</v>
      </c>
      <c r="E289" s="118"/>
      <c r="F289" s="65">
        <v>1</v>
      </c>
      <c r="G289" s="66">
        <v>6.5</v>
      </c>
      <c r="H289" s="138">
        <f t="shared" si="60"/>
        <v>7.15</v>
      </c>
      <c r="I289" s="71">
        <f t="shared" si="61"/>
        <v>6.482666666666667</v>
      </c>
      <c r="J289" s="62">
        <f t="shared" si="64"/>
        <v>495.92400000000004</v>
      </c>
      <c r="K289" s="307"/>
      <c r="L289" s="410">
        <f>IF(OR(Калькуляция!$F289=3,),3,0)</f>
        <v>0</v>
      </c>
      <c r="M289" s="410">
        <f>IF(OR(Калькуляция!$F289=6,),6,0)</f>
        <v>0</v>
      </c>
      <c r="N289" s="410">
        <f>IF(OR(Калькуляция!$F289=9,),9,0)</f>
        <v>0</v>
      </c>
      <c r="O289" s="410">
        <f>IF(OR(Калькуляция!$F289=3,Калькуляция!$F289=6,Калькуляция!$F289=9,),369,0)</f>
        <v>0</v>
      </c>
      <c r="P289" s="67">
        <f t="shared" si="62"/>
        <v>0</v>
      </c>
      <c r="Q289" s="68">
        <f t="shared" si="63"/>
        <v>0</v>
      </c>
    </row>
    <row r="290" spans="1:17" ht="12.75">
      <c r="A290" s="325">
        <f t="shared" si="59"/>
        <v>272</v>
      </c>
      <c r="B290" s="51" t="s">
        <v>28</v>
      </c>
      <c r="C290" s="73" t="s">
        <v>115</v>
      </c>
      <c r="D290" s="51" t="s">
        <v>30</v>
      </c>
      <c r="E290" s="77">
        <v>20</v>
      </c>
      <c r="F290" s="119">
        <v>2</v>
      </c>
      <c r="G290" s="120">
        <v>0</v>
      </c>
      <c r="H290" s="138">
        <f t="shared" si="60"/>
        <v>24.264705882352942</v>
      </c>
      <c r="I290" s="71">
        <f t="shared" si="61"/>
        <v>22</v>
      </c>
      <c r="J290" s="62">
        <f t="shared" si="64"/>
        <v>1683</v>
      </c>
      <c r="K290" s="307">
        <v>1</v>
      </c>
      <c r="L290" s="410">
        <f>IF(OR(Калькуляция!$F290=3,),3,0)</f>
        <v>0</v>
      </c>
      <c r="M290" s="410">
        <f>IF(OR(Калькуляция!$F290=6,),6,0)</f>
        <v>0</v>
      </c>
      <c r="N290" s="410">
        <f>IF(OR(Калькуляция!$F290=9,),9,0)</f>
        <v>0</v>
      </c>
      <c r="O290" s="410">
        <f>IF(OR(Калькуляция!$F290=3,Калькуляция!$F290=6,Калькуляция!$F290=9,),369,0)</f>
        <v>0</v>
      </c>
      <c r="P290" s="80">
        <f t="shared" si="62"/>
        <v>22</v>
      </c>
      <c r="Q290" s="68">
        <f t="shared" si="63"/>
        <v>1683</v>
      </c>
    </row>
    <row r="291" spans="1:17" ht="12.75">
      <c r="A291" s="325">
        <f t="shared" si="59"/>
        <v>273</v>
      </c>
      <c r="B291" s="51" t="s">
        <v>31</v>
      </c>
      <c r="C291" s="73" t="s">
        <v>115</v>
      </c>
      <c r="D291" s="51" t="s">
        <v>32</v>
      </c>
      <c r="E291" s="77">
        <v>20</v>
      </c>
      <c r="F291" s="119">
        <v>3</v>
      </c>
      <c r="G291" s="120">
        <v>0</v>
      </c>
      <c r="H291" s="138">
        <f t="shared" si="60"/>
        <v>19.411764705882355</v>
      </c>
      <c r="I291" s="71">
        <f t="shared" si="61"/>
        <v>17.6</v>
      </c>
      <c r="J291" s="62">
        <f t="shared" si="64"/>
        <v>1346.4000000000003</v>
      </c>
      <c r="K291" s="307">
        <v>1</v>
      </c>
      <c r="L291" s="410">
        <f>IF(OR(Калькуляция!$F291=3,),3,0)</f>
        <v>3</v>
      </c>
      <c r="M291" s="410">
        <f>IF(OR(Калькуляция!$F291=6,),6,0)</f>
        <v>0</v>
      </c>
      <c r="N291" s="410">
        <f>IF(OR(Калькуляция!$F291=9,),9,0)</f>
        <v>0</v>
      </c>
      <c r="O291" s="410">
        <f>IF(OR(Калькуляция!$F291=3,Калькуляция!$F291=6,Калькуляция!$F291=9,),369,0)</f>
        <v>369</v>
      </c>
      <c r="P291" s="80">
        <f t="shared" si="62"/>
        <v>17.6</v>
      </c>
      <c r="Q291" s="68">
        <f t="shared" si="63"/>
        <v>1346.4000000000003</v>
      </c>
    </row>
    <row r="292" spans="1:17" s="236" customFormat="1" ht="12.75">
      <c r="A292" s="326">
        <f t="shared" si="59"/>
        <v>274</v>
      </c>
      <c r="B292" s="226" t="s">
        <v>361</v>
      </c>
      <c r="C292" s="237"/>
      <c r="D292" s="238" t="s">
        <v>27</v>
      </c>
      <c r="E292" s="239">
        <v>10</v>
      </c>
      <c r="F292" s="240">
        <v>3</v>
      </c>
      <c r="G292" s="241">
        <v>0</v>
      </c>
      <c r="H292" s="138">
        <f t="shared" si="60"/>
        <v>9.705882352941178</v>
      </c>
      <c r="I292" s="71">
        <f t="shared" si="61"/>
        <v>8.8</v>
      </c>
      <c r="J292" s="349">
        <f t="shared" si="64"/>
        <v>673.2000000000002</v>
      </c>
      <c r="K292" s="307"/>
      <c r="L292" s="410">
        <f>IF(OR(Калькуляция!$F292=3,),3,0)</f>
        <v>3</v>
      </c>
      <c r="M292" s="410">
        <f>IF(OR(Калькуляция!$F292=6,),6,0)</f>
        <v>0</v>
      </c>
      <c r="N292" s="410">
        <f>IF(OR(Калькуляция!$F292=9,),9,0)</f>
        <v>0</v>
      </c>
      <c r="O292" s="410">
        <f>IF(OR(Калькуляция!$F292=3,Калькуляция!$F292=6,Калькуляция!$F292=9,),369,0)</f>
        <v>369</v>
      </c>
      <c r="P292" s="234">
        <f t="shared" si="62"/>
        <v>0</v>
      </c>
      <c r="Q292" s="235">
        <f t="shared" si="63"/>
        <v>0</v>
      </c>
    </row>
    <row r="293" spans="1:17" ht="29.25" customHeight="1">
      <c r="A293" s="479" t="s">
        <v>387</v>
      </c>
      <c r="B293" s="480"/>
      <c r="C293" s="480"/>
      <c r="D293" s="480"/>
      <c r="E293" s="480"/>
      <c r="F293" s="480"/>
      <c r="G293" s="480"/>
      <c r="H293" s="480"/>
      <c r="I293" s="480"/>
      <c r="J293" s="481"/>
      <c r="K293" s="346" t="str">
        <f>IF(Q293=0," ","Итого по разделу:")</f>
        <v>Итого по разделу:</v>
      </c>
      <c r="L293" s="410">
        <f>IF(OR(Калькуляция!$F293=3,),3,0)</f>
        <v>0</v>
      </c>
      <c r="M293" s="410">
        <f>IF(OR(Калькуляция!$F293=6,),6,0)</f>
        <v>0</v>
      </c>
      <c r="N293" s="410">
        <f>IF(OR(Калькуляция!$F293=9,),9,0)</f>
        <v>0</v>
      </c>
      <c r="O293" s="410">
        <f>IF(OR(Калькуляция!$F293=3,Калькуляция!$F293=6,Калькуляция!$F293=9,),369,0)</f>
        <v>0</v>
      </c>
      <c r="P293" s="311"/>
      <c r="Q293" s="310">
        <f>SUM(Q282:Q292)</f>
        <v>9888.105216000002</v>
      </c>
    </row>
    <row r="294" spans="1:17" s="29" customFormat="1" ht="18.75" customHeight="1">
      <c r="A294" s="469" t="s">
        <v>304</v>
      </c>
      <c r="B294" s="470"/>
      <c r="C294" s="470"/>
      <c r="D294" s="470"/>
      <c r="E294" s="470"/>
      <c r="F294" s="470"/>
      <c r="G294" s="470"/>
      <c r="H294" s="470"/>
      <c r="I294" s="470"/>
      <c r="J294" s="470"/>
      <c r="K294" s="344" t="str">
        <f>IF(Q299=0," ","(Разд.10)")</f>
        <v> </v>
      </c>
      <c r="L294" s="410">
        <f>IF(OR(Калькуляция!$F294=3,),3,0)</f>
        <v>0</v>
      </c>
      <c r="M294" s="410">
        <f>IF(OR(Калькуляция!$F294=6,),6,0)</f>
        <v>0</v>
      </c>
      <c r="N294" s="410">
        <f>IF(OR(Калькуляция!$F294=9,),9,0)</f>
        <v>0</v>
      </c>
      <c r="O294" s="410">
        <f>IF(OR(Калькуляция!$F294=3,Калькуляция!$F294=6,Калькуляция!$F294=9,),369,0)</f>
        <v>0</v>
      </c>
      <c r="P294" s="308"/>
      <c r="Q294" s="308"/>
    </row>
    <row r="295" spans="1:17" s="29" customFormat="1" ht="12.75">
      <c r="A295" s="319">
        <f>ROW()-18</f>
        <v>277</v>
      </c>
      <c r="B295" s="52" t="s">
        <v>116</v>
      </c>
      <c r="C295" s="129" t="s">
        <v>263</v>
      </c>
      <c r="D295" s="52" t="s">
        <v>27</v>
      </c>
      <c r="E295" s="122"/>
      <c r="F295" s="123">
        <v>1</v>
      </c>
      <c r="G295" s="124">
        <v>289.96</v>
      </c>
      <c r="H295" s="138">
        <f>I295/$L$358</f>
        <v>318.956</v>
      </c>
      <c r="I295" s="71">
        <f>$J$7*(E295+PRODUCT(G295,$L$358))*IF(OR(F295=1,F295=10),(100-$D$15)/100,IF(OR(F295=3,F295=6,F295=9),(100-$D$16)/100,IF(OR(F295=2,F295=4),(100-$D$17)/100,1)))</f>
        <v>289.18677333333335</v>
      </c>
      <c r="J295" s="62">
        <f>PRODUCT(I295,1/$L$358,$L$357,1.02)</f>
        <v>22122.788160000004</v>
      </c>
      <c r="K295" s="307"/>
      <c r="L295" s="410">
        <f>IF(OR(Калькуляция!$F295=3,),3,0)</f>
        <v>0</v>
      </c>
      <c r="M295" s="410">
        <f>IF(OR(Калькуляция!$F295=6,),6,0)</f>
        <v>0</v>
      </c>
      <c r="N295" s="410">
        <f>IF(OR(Калькуляция!$F295=9,),9,0)</f>
        <v>0</v>
      </c>
      <c r="O295" s="410">
        <f>IF(OR(Калькуляция!$F295=3,Калькуляция!$F295=6,Калькуляция!$F295=9,),369,0)</f>
        <v>0</v>
      </c>
      <c r="P295" s="67">
        <f>I295*K295</f>
        <v>0</v>
      </c>
      <c r="Q295" s="68">
        <f>J295*K295</f>
        <v>0</v>
      </c>
    </row>
    <row r="296" spans="1:17" s="29" customFormat="1" ht="12.75">
      <c r="A296" s="319">
        <f>ROW()-18</f>
        <v>278</v>
      </c>
      <c r="B296" s="52" t="s">
        <v>116</v>
      </c>
      <c r="C296" s="129" t="s">
        <v>264</v>
      </c>
      <c r="D296" s="52" t="s">
        <v>27</v>
      </c>
      <c r="E296" s="122"/>
      <c r="F296" s="123">
        <v>1</v>
      </c>
      <c r="G296" s="124">
        <v>434.94</v>
      </c>
      <c r="H296" s="138">
        <f>I296/$L$358</f>
        <v>478.434</v>
      </c>
      <c r="I296" s="71">
        <f>$J$7*(E296+PRODUCT(G296,$L$358))*IF(OR(F296=1,F296=10),(100-$D$15)/100,IF(OR(F296=3,F296=6,F296=9),(100-$D$16)/100,IF(OR(F296=2,F296=4),(100-$D$17)/100,1)))</f>
        <v>433.78016</v>
      </c>
      <c r="J296" s="62">
        <f>PRODUCT(I296,1/$L$358,$L$357,1.02)</f>
        <v>33184.18224000001</v>
      </c>
      <c r="K296" s="307"/>
      <c r="L296" s="410">
        <f>IF(OR(Калькуляция!$F296=3,),3,0)</f>
        <v>0</v>
      </c>
      <c r="M296" s="410">
        <f>IF(OR(Калькуляция!$F296=6,),6,0)</f>
        <v>0</v>
      </c>
      <c r="N296" s="410">
        <f>IF(OR(Калькуляция!$F296=9,),9,0)</f>
        <v>0</v>
      </c>
      <c r="O296" s="410">
        <f>IF(OR(Калькуляция!$F296=3,Калькуляция!$F296=6,Калькуляция!$F296=9,),369,0)</f>
        <v>0</v>
      </c>
      <c r="P296" s="67">
        <f>I296*K296</f>
        <v>0</v>
      </c>
      <c r="Q296" s="68">
        <f>J296*K296</f>
        <v>0</v>
      </c>
    </row>
    <row r="297" spans="1:17" ht="12.75">
      <c r="A297" s="319">
        <f>ROW()-18</f>
        <v>279</v>
      </c>
      <c r="B297" s="53" t="s">
        <v>28</v>
      </c>
      <c r="C297" s="125" t="s">
        <v>117</v>
      </c>
      <c r="D297" s="53" t="s">
        <v>30</v>
      </c>
      <c r="E297" s="126">
        <v>20</v>
      </c>
      <c r="F297" s="127">
        <v>2</v>
      </c>
      <c r="G297" s="128">
        <v>0</v>
      </c>
      <c r="H297" s="138">
        <f>I297/$L$358</f>
        <v>24.264705882352942</v>
      </c>
      <c r="I297" s="71">
        <f>$J$7*(E297+PRODUCT(G297,$L$358))*IF(OR(F297=1,F297=10),(100-$D$15)/100,IF(OR(F297=3,F297=6,F297=9),(100-$D$16)/100,IF(OR(F297=2,F297=4),(100-$D$17)/100,1)))</f>
        <v>22</v>
      </c>
      <c r="J297" s="62">
        <f>PRODUCT(I297,1/$L$358,$L$357,1.02)</f>
        <v>1683</v>
      </c>
      <c r="K297" s="307"/>
      <c r="L297" s="410">
        <f>IF(OR(Калькуляция!$F297=3,),3,0)</f>
        <v>0</v>
      </c>
      <c r="M297" s="410">
        <f>IF(OR(Калькуляция!$F297=6,),6,0)</f>
        <v>0</v>
      </c>
      <c r="N297" s="410">
        <f>IF(OR(Калькуляция!$F297=9,),9,0)</f>
        <v>0</v>
      </c>
      <c r="O297" s="410">
        <f>IF(OR(Калькуляция!$F297=3,Калькуляция!$F297=6,Калькуляция!$F297=9,),369,0)</f>
        <v>0</v>
      </c>
      <c r="P297" s="80">
        <f>I297*K297</f>
        <v>0</v>
      </c>
      <c r="Q297" s="68">
        <f>J297*K297</f>
        <v>0</v>
      </c>
    </row>
    <row r="298" spans="1:17" ht="12.75">
      <c r="A298" s="319">
        <f>ROW()-18</f>
        <v>280</v>
      </c>
      <c r="B298" s="53" t="s">
        <v>31</v>
      </c>
      <c r="C298" s="125" t="s">
        <v>117</v>
      </c>
      <c r="D298" s="53" t="s">
        <v>32</v>
      </c>
      <c r="E298" s="126">
        <v>30</v>
      </c>
      <c r="F298" s="127">
        <v>3</v>
      </c>
      <c r="G298" s="128">
        <v>0</v>
      </c>
      <c r="H298" s="138">
        <f>I298/$L$358</f>
        <v>29.117647058823533</v>
      </c>
      <c r="I298" s="71">
        <f>$J$7*(E298+PRODUCT(G298,$L$358))*IF(OR(F298=1,F298=10),(100-$D$15)/100,IF(OR(F298=3,F298=6,F298=9),(100-$D$16)/100,IF(OR(F298=2,F298=4),(100-$D$17)/100,1)))</f>
        <v>26.400000000000002</v>
      </c>
      <c r="J298" s="347">
        <f>PRODUCT(I298,1/$L$358,$L$357,1.02)</f>
        <v>2019.6000000000004</v>
      </c>
      <c r="K298" s="307"/>
      <c r="L298" s="410">
        <f>IF(OR(Калькуляция!$F298=3,),3,0)</f>
        <v>3</v>
      </c>
      <c r="M298" s="410">
        <f>IF(OR(Калькуляция!$F298=6,),6,0)</f>
        <v>0</v>
      </c>
      <c r="N298" s="410">
        <f>IF(OR(Калькуляция!$F298=9,),9,0)</f>
        <v>0</v>
      </c>
      <c r="O298" s="410">
        <f>IF(OR(Калькуляция!$F298=3,Калькуляция!$F298=6,Калькуляция!$F298=9,),369,0)</f>
        <v>369</v>
      </c>
      <c r="P298" s="80">
        <f>I298*K298</f>
        <v>0</v>
      </c>
      <c r="Q298" s="68">
        <f>J298*K298</f>
        <v>0</v>
      </c>
    </row>
    <row r="299" spans="1:17" ht="59.25" customHeight="1">
      <c r="A299" s="464"/>
      <c r="B299" s="465"/>
      <c r="C299" s="465"/>
      <c r="D299" s="466"/>
      <c r="E299" s="467"/>
      <c r="F299" s="467"/>
      <c r="G299" s="467"/>
      <c r="H299" s="467"/>
      <c r="I299" s="467"/>
      <c r="J299" s="468"/>
      <c r="K299" s="346" t="str">
        <f>IF(Q299=0," ","Итого по разделу:")</f>
        <v> </v>
      </c>
      <c r="L299" s="410">
        <f>IF(OR(Калькуляция!$F299=3,),3,0)</f>
        <v>0</v>
      </c>
      <c r="M299" s="410">
        <f>IF(OR(Калькуляция!$F299=6,),6,0)</f>
        <v>0</v>
      </c>
      <c r="N299" s="410">
        <f>IF(OR(Калькуляция!$F299=9,),9,0)</f>
        <v>0</v>
      </c>
      <c r="O299" s="410">
        <f>IF(OR(Калькуляция!$F299=3,Калькуляция!$F299=6,Калькуляция!$F299=9,),369,0)</f>
        <v>0</v>
      </c>
      <c r="P299" s="311"/>
      <c r="Q299" s="310">
        <f>SUM(Q295:Q298)</f>
        <v>0</v>
      </c>
    </row>
    <row r="300" spans="1:17" s="29" customFormat="1" ht="18.75" customHeight="1">
      <c r="A300" s="469" t="s">
        <v>439</v>
      </c>
      <c r="B300" s="470"/>
      <c r="C300" s="470"/>
      <c r="D300" s="470"/>
      <c r="E300" s="470"/>
      <c r="F300" s="470"/>
      <c r="G300" s="470"/>
      <c r="H300" s="470"/>
      <c r="I300" s="470"/>
      <c r="J300" s="470"/>
      <c r="K300" s="344" t="str">
        <f>IF(Q310=0," ","(Разд.11)")</f>
        <v>(Разд.11)</v>
      </c>
      <c r="L300" s="410">
        <f>IF(OR(Калькуляция!$F300=3,),3,0)</f>
        <v>0</v>
      </c>
      <c r="M300" s="410">
        <f>IF(OR(Калькуляция!$F300=6,),6,0)</f>
        <v>0</v>
      </c>
      <c r="N300" s="410">
        <f>IF(OR(Калькуляция!$F300=9,),9,0)</f>
        <v>0</v>
      </c>
      <c r="O300" s="410">
        <f>IF(OR(Калькуляция!$F300=3,Калькуляция!$F300=6,Калькуляция!$F300=9,),369,0)</f>
        <v>0</v>
      </c>
      <c r="P300" s="308"/>
      <c r="Q300" s="308"/>
    </row>
    <row r="301" spans="1:17" s="29" customFormat="1" ht="12.75">
      <c r="A301" s="331">
        <f aca="true" t="shared" si="65" ref="A301:A309">ROW()-18</f>
        <v>283</v>
      </c>
      <c r="B301" s="39" t="s">
        <v>45</v>
      </c>
      <c r="C301" s="88" t="s">
        <v>46</v>
      </c>
      <c r="D301" s="89" t="s">
        <v>47</v>
      </c>
      <c r="E301" s="90"/>
      <c r="F301" s="91">
        <v>4</v>
      </c>
      <c r="G301" s="92">
        <v>1.1</v>
      </c>
      <c r="H301" s="138">
        <f aca="true" t="shared" si="66" ref="H301:H309">I301/$L$358</f>
        <v>1.2100000000000002</v>
      </c>
      <c r="I301" s="71">
        <f aca="true" t="shared" si="67" ref="I301:I309">$J$7*(E301+PRODUCT(G301,$L$358))*IF(OR(F301=1,F301=10),(100-$D$15)/100,IF(OR(F301=3,F301=6,F301=9),(100-$D$16)/100,IF(OR(F301=2,F301=4),(100-$D$17)/100,1)))</f>
        <v>1.0970666666666669</v>
      </c>
      <c r="J301" s="62">
        <f>PRODUCT(I301,1/$L$358,$L$357,1.02)</f>
        <v>83.92560000000002</v>
      </c>
      <c r="K301" s="307"/>
      <c r="L301" s="410">
        <f>IF(OR(Калькуляция!$F301=3,),3,0)</f>
        <v>0</v>
      </c>
      <c r="M301" s="410">
        <f>IF(OR(Калькуляция!$F301=6,),6,0)</f>
        <v>0</v>
      </c>
      <c r="N301" s="410">
        <f>IF(OR(Калькуляция!$F301=9,),9,0)</f>
        <v>0</v>
      </c>
      <c r="O301" s="410">
        <f>IF(OR(Калькуляция!$F301=3,Калькуляция!$F301=6,Калькуляция!$F301=9,),369,0)</f>
        <v>0</v>
      </c>
      <c r="P301" s="67">
        <f aca="true" t="shared" si="68" ref="P301:P309">I301*K301</f>
        <v>0</v>
      </c>
      <c r="Q301" s="68">
        <f aca="true" t="shared" si="69" ref="Q301:Q309">J301*K301</f>
        <v>0</v>
      </c>
    </row>
    <row r="302" spans="1:17" s="29" customFormat="1" ht="12.75">
      <c r="A302" s="331">
        <f t="shared" si="65"/>
        <v>284</v>
      </c>
      <c r="B302" s="39" t="s">
        <v>437</v>
      </c>
      <c r="C302" s="88" t="s">
        <v>438</v>
      </c>
      <c r="D302" s="89" t="s">
        <v>78</v>
      </c>
      <c r="E302" s="90"/>
      <c r="F302" s="91">
        <v>4</v>
      </c>
      <c r="G302" s="92">
        <v>2</v>
      </c>
      <c r="H302" s="138">
        <f t="shared" si="66"/>
        <v>2.2</v>
      </c>
      <c r="I302" s="71">
        <f t="shared" si="67"/>
        <v>1.9946666666666668</v>
      </c>
      <c r="J302" s="62">
        <f>PRODUCT(I302,1/$L$358,$L$357,1.02)</f>
        <v>152.592</v>
      </c>
      <c r="K302" s="307"/>
      <c r="L302" s="410">
        <f>IF(OR(Калькуляция!$F302=3,),3,0)</f>
        <v>0</v>
      </c>
      <c r="M302" s="410">
        <f>IF(OR(Калькуляция!$F302=6,),6,0)</f>
        <v>0</v>
      </c>
      <c r="N302" s="410">
        <f>IF(OR(Калькуляция!$F302=9,),9,0)</f>
        <v>0</v>
      </c>
      <c r="O302" s="410">
        <f>IF(OR(Калькуляция!$F302=3,Калькуляция!$F302=6,Калькуляция!$F302=9,),369,0)</f>
        <v>0</v>
      </c>
      <c r="P302" s="67">
        <f t="shared" si="68"/>
        <v>0</v>
      </c>
      <c r="Q302" s="68">
        <f t="shared" si="69"/>
        <v>0</v>
      </c>
    </row>
    <row r="303" spans="1:17" s="29" customFormat="1" ht="12.75">
      <c r="A303" s="331">
        <f t="shared" si="65"/>
        <v>285</v>
      </c>
      <c r="B303" s="39" t="s">
        <v>220</v>
      </c>
      <c r="C303" s="88" t="s">
        <v>48</v>
      </c>
      <c r="D303" s="89" t="s">
        <v>47</v>
      </c>
      <c r="E303" s="90"/>
      <c r="F303" s="91">
        <v>4</v>
      </c>
      <c r="G303" s="92">
        <v>10.15</v>
      </c>
      <c r="H303" s="138">
        <f t="shared" si="66"/>
        <v>11.165</v>
      </c>
      <c r="I303" s="71">
        <f t="shared" si="67"/>
        <v>10.122933333333332</v>
      </c>
      <c r="J303" s="62">
        <f>PRODUCT(I303,1/$L$358,$L$357,1.02)*0.5</f>
        <v>387.20219999999995</v>
      </c>
      <c r="K303" s="307">
        <v>5</v>
      </c>
      <c r="L303" s="410">
        <f>IF(OR(Калькуляция!$F303=3,),3,0)</f>
        <v>0</v>
      </c>
      <c r="M303" s="410">
        <f>IF(OR(Калькуляция!$F303=6,),6,0)</f>
        <v>0</v>
      </c>
      <c r="N303" s="410">
        <f>IF(OR(Калькуляция!$F303=9,),9,0)</f>
        <v>0</v>
      </c>
      <c r="O303" s="410">
        <f>IF(OR(Калькуляция!$F303=3,Калькуляция!$F303=6,Калькуляция!$F303=9,),369,0)</f>
        <v>0</v>
      </c>
      <c r="P303" s="67">
        <f t="shared" si="68"/>
        <v>50.614666666666665</v>
      </c>
      <c r="Q303" s="68">
        <f t="shared" si="69"/>
        <v>1936.0109999999997</v>
      </c>
    </row>
    <row r="304" spans="1:17" ht="12.75">
      <c r="A304" s="324">
        <f t="shared" si="65"/>
        <v>286</v>
      </c>
      <c r="B304" s="199" t="s">
        <v>118</v>
      </c>
      <c r="C304" s="200" t="s">
        <v>119</v>
      </c>
      <c r="D304" s="199" t="s">
        <v>120</v>
      </c>
      <c r="E304" s="126"/>
      <c r="F304" s="127">
        <v>4</v>
      </c>
      <c r="G304" s="128">
        <v>16</v>
      </c>
      <c r="H304" s="138">
        <f t="shared" si="66"/>
        <v>17.6</v>
      </c>
      <c r="I304" s="71">
        <f t="shared" si="67"/>
        <v>15.957333333333334</v>
      </c>
      <c r="J304" s="62">
        <f>PRODUCT(I304,1/$L$358,$L$357,1.02)*0.8</f>
        <v>976.5888000000001</v>
      </c>
      <c r="K304" s="307">
        <v>5</v>
      </c>
      <c r="L304" s="410">
        <f>IF(OR(Калькуляция!$F304=3,),3,0)</f>
        <v>0</v>
      </c>
      <c r="M304" s="410">
        <f>IF(OR(Калькуляция!$F304=6,),6,0)</f>
        <v>0</v>
      </c>
      <c r="N304" s="410">
        <f>IF(OR(Калькуляция!$F304=9,),9,0)</f>
        <v>0</v>
      </c>
      <c r="O304" s="410">
        <f>IF(OR(Калькуляция!$F304=3,Калькуляция!$F304=6,Калькуляция!$F304=9,),369,0)</f>
        <v>0</v>
      </c>
      <c r="P304" s="80">
        <f t="shared" si="68"/>
        <v>79.78666666666668</v>
      </c>
      <c r="Q304" s="68">
        <f t="shared" si="69"/>
        <v>4882.944</v>
      </c>
    </row>
    <row r="305" spans="1:17" ht="12.75">
      <c r="A305" s="324">
        <f t="shared" si="65"/>
        <v>287</v>
      </c>
      <c r="B305" s="199" t="s">
        <v>121</v>
      </c>
      <c r="C305" s="200" t="s">
        <v>122</v>
      </c>
      <c r="D305" s="199" t="s">
        <v>123</v>
      </c>
      <c r="E305" s="126"/>
      <c r="F305" s="127">
        <v>4</v>
      </c>
      <c r="G305" s="128">
        <v>16.31</v>
      </c>
      <c r="H305" s="138">
        <f t="shared" si="66"/>
        <v>17.941</v>
      </c>
      <c r="I305" s="71">
        <f t="shared" si="67"/>
        <v>16.266506666666665</v>
      </c>
      <c r="J305" s="62">
        <f>PRODUCT(I305,1/$L$358,$L$357,1.02)</f>
        <v>1244.3877599999998</v>
      </c>
      <c r="K305" s="307"/>
      <c r="L305" s="410">
        <f>IF(OR(Калькуляция!$F305=3,),3,0)</f>
        <v>0</v>
      </c>
      <c r="M305" s="410">
        <f>IF(OR(Калькуляция!$F305=6,),6,0)</f>
        <v>0</v>
      </c>
      <c r="N305" s="410">
        <f>IF(OR(Калькуляция!$F305=9,),9,0)</f>
        <v>0</v>
      </c>
      <c r="O305" s="410">
        <f>IF(OR(Калькуляция!$F305=3,Калькуляция!$F305=6,Калькуляция!$F305=9,),369,0)</f>
        <v>0</v>
      </c>
      <c r="P305" s="80">
        <f t="shared" si="68"/>
        <v>0</v>
      </c>
      <c r="Q305" s="68">
        <f t="shared" si="69"/>
        <v>0</v>
      </c>
    </row>
    <row r="306" spans="1:17" ht="12.75">
      <c r="A306" s="324">
        <f t="shared" si="65"/>
        <v>288</v>
      </c>
      <c r="B306" s="199" t="s">
        <v>468</v>
      </c>
      <c r="C306" s="200"/>
      <c r="D306" s="199" t="s">
        <v>120</v>
      </c>
      <c r="E306" s="126"/>
      <c r="F306" s="127">
        <v>4</v>
      </c>
      <c r="G306" s="128">
        <v>110</v>
      </c>
      <c r="H306" s="138">
        <f>I306/$L$358</f>
        <v>121.00000000000001</v>
      </c>
      <c r="I306" s="71">
        <f>$J$7*(E306+PRODUCT(G306,$L$358))*IF(OR(F306=1,F306=10),(100-$D$15)/100,IF(OR(F306=3,F306=6,F306=9),(100-$D$16)/100,IF(OR(F306=2,F306=4),(100-$D$17)/100,1)))</f>
        <v>109.70666666666668</v>
      </c>
      <c r="J306" s="62">
        <f>PRODUCT(I306,1/$L$358,$L$357,1.02)</f>
        <v>8392.560000000001</v>
      </c>
      <c r="K306" s="307"/>
      <c r="L306" s="410">
        <f>IF(OR(Калькуляция!$F306=3,),3,0)</f>
        <v>0</v>
      </c>
      <c r="M306" s="410">
        <f>IF(OR(Калькуляция!$F306=6,),6,0)</f>
        <v>0</v>
      </c>
      <c r="N306" s="410">
        <f>IF(OR(Калькуляция!$F306=9,),9,0)</f>
        <v>0</v>
      </c>
      <c r="O306" s="410">
        <f>IF(OR(Калькуляция!$F306=3,Калькуляция!$F306=6,Калькуляция!$F306=9,),369,0)</f>
        <v>0</v>
      </c>
      <c r="P306" s="80">
        <f>I306*K306</f>
        <v>0</v>
      </c>
      <c r="Q306" s="68">
        <f>J306*K306</f>
        <v>0</v>
      </c>
    </row>
    <row r="307" spans="1:17" ht="12.75">
      <c r="A307" s="324">
        <f t="shared" si="65"/>
        <v>289</v>
      </c>
      <c r="B307" s="199" t="s">
        <v>469</v>
      </c>
      <c r="C307" s="200"/>
      <c r="D307" s="199" t="s">
        <v>120</v>
      </c>
      <c r="E307" s="126"/>
      <c r="F307" s="127">
        <v>4</v>
      </c>
      <c r="G307" s="128">
        <v>65</v>
      </c>
      <c r="H307" s="138">
        <f t="shared" si="66"/>
        <v>71.5</v>
      </c>
      <c r="I307" s="71">
        <f t="shared" si="67"/>
        <v>64.82666666666667</v>
      </c>
      <c r="J307" s="62">
        <f>PRODUCT(I307,1/$L$358,$L$357,1.02)</f>
        <v>4959.24</v>
      </c>
      <c r="K307" s="307"/>
      <c r="L307" s="410">
        <f>IF(OR(Калькуляция!$F307=3,),3,0)</f>
        <v>0</v>
      </c>
      <c r="M307" s="410">
        <f>IF(OR(Калькуляция!$F307=6,),6,0)</f>
        <v>0</v>
      </c>
      <c r="N307" s="410">
        <f>IF(OR(Калькуляция!$F307=9,),9,0)</f>
        <v>0</v>
      </c>
      <c r="O307" s="410">
        <f>IF(OR(Калькуляция!$F307=3,Калькуляция!$F307=6,Калькуляция!$F307=9,),369,0)</f>
        <v>0</v>
      </c>
      <c r="P307" s="80">
        <f t="shared" si="68"/>
        <v>0</v>
      </c>
      <c r="Q307" s="68">
        <f t="shared" si="69"/>
        <v>0</v>
      </c>
    </row>
    <row r="308" spans="1:17" ht="12.75">
      <c r="A308" s="324">
        <f t="shared" si="65"/>
        <v>290</v>
      </c>
      <c r="B308" s="199" t="s">
        <v>470</v>
      </c>
      <c r="C308" s="200" t="s">
        <v>122</v>
      </c>
      <c r="D308" s="199" t="s">
        <v>123</v>
      </c>
      <c r="E308" s="126"/>
      <c r="F308" s="127">
        <v>4</v>
      </c>
      <c r="G308" s="128">
        <v>5</v>
      </c>
      <c r="H308" s="138">
        <f>I308/$L$358</f>
        <v>5.500000000000001</v>
      </c>
      <c r="I308" s="71">
        <f>$J$7*(E308+PRODUCT(G308,$L$358))*IF(OR(F308=1,F308=10),(100-$D$15)/100,IF(OR(F308=3,F308=6,F308=9),(100-$D$16)/100,IF(OR(F308=2,F308=4),(100-$D$17)/100,1)))</f>
        <v>4.986666666666667</v>
      </c>
      <c r="J308" s="62">
        <f>PRODUCT(I308,1/$L$358,$L$357,1.02)</f>
        <v>381.4800000000001</v>
      </c>
      <c r="K308" s="307"/>
      <c r="L308" s="410">
        <f>IF(OR(Калькуляция!$F308=3,),3,0)</f>
        <v>0</v>
      </c>
      <c r="M308" s="410">
        <f>IF(OR(Калькуляция!$F308=6,),6,0)</f>
        <v>0</v>
      </c>
      <c r="N308" s="410">
        <f>IF(OR(Калькуляция!$F308=9,),9,0)</f>
        <v>0</v>
      </c>
      <c r="O308" s="410">
        <f>IF(OR(Калькуляция!$F308=3,Калькуляция!$F308=6,Калькуляция!$F308=9,),369,0)</f>
        <v>0</v>
      </c>
      <c r="P308" s="80">
        <f>I308*K308</f>
        <v>0</v>
      </c>
      <c r="Q308" s="68">
        <f>J308*K308</f>
        <v>0</v>
      </c>
    </row>
    <row r="309" spans="1:17" ht="12.75">
      <c r="A309" s="324">
        <f t="shared" si="65"/>
        <v>291</v>
      </c>
      <c r="B309" s="199" t="s">
        <v>124</v>
      </c>
      <c r="C309" s="200" t="s">
        <v>122</v>
      </c>
      <c r="D309" s="199" t="s">
        <v>123</v>
      </c>
      <c r="E309" s="126"/>
      <c r="F309" s="127">
        <v>4</v>
      </c>
      <c r="G309" s="128">
        <v>8</v>
      </c>
      <c r="H309" s="138">
        <f t="shared" si="66"/>
        <v>8.8</v>
      </c>
      <c r="I309" s="71">
        <f t="shared" si="67"/>
        <v>7.978666666666667</v>
      </c>
      <c r="J309" s="347">
        <f>PRODUCT(I309,1/$L$358,$L$357,1.02)</f>
        <v>610.368</v>
      </c>
      <c r="K309" s="307"/>
      <c r="L309" s="410">
        <f>IF(OR(Калькуляция!$F309=3,),3,0)</f>
        <v>0</v>
      </c>
      <c r="M309" s="410">
        <f>IF(OR(Калькуляция!$F309=6,),6,0)</f>
        <v>0</v>
      </c>
      <c r="N309" s="410">
        <f>IF(OR(Калькуляция!$F309=9,),9,0)</f>
        <v>0</v>
      </c>
      <c r="O309" s="410">
        <f>IF(OR(Калькуляция!$F309=3,Калькуляция!$F309=6,Калькуляция!$F309=9,),369,0)</f>
        <v>0</v>
      </c>
      <c r="P309" s="80">
        <f t="shared" si="68"/>
        <v>0</v>
      </c>
      <c r="Q309" s="68">
        <f t="shared" si="69"/>
        <v>0</v>
      </c>
    </row>
    <row r="310" spans="1:17" ht="27" customHeight="1">
      <c r="A310" s="479"/>
      <c r="B310" s="480"/>
      <c r="C310" s="480"/>
      <c r="D310" s="480"/>
      <c r="E310" s="480"/>
      <c r="F310" s="480"/>
      <c r="G310" s="480"/>
      <c r="H310" s="480"/>
      <c r="I310" s="480"/>
      <c r="J310" s="481"/>
      <c r="K310" s="346" t="str">
        <f>IF(Q310=0," ","Итого по разделу:")</f>
        <v>Итого по разделу:</v>
      </c>
      <c r="L310" s="410">
        <f>IF(OR(Калькуляция!$F310=3,),3,0)</f>
        <v>0</v>
      </c>
      <c r="M310" s="410">
        <f>IF(OR(Калькуляция!$F310=6,),6,0)</f>
        <v>0</v>
      </c>
      <c r="N310" s="410">
        <f>IF(OR(Калькуляция!$F310=9,),9,0)</f>
        <v>0</v>
      </c>
      <c r="O310" s="410">
        <f>IF(OR(Калькуляция!$F310=3,Калькуляция!$F310=6,Калькуляция!$F310=9,),369,0)</f>
        <v>0</v>
      </c>
      <c r="P310" s="311"/>
      <c r="Q310" s="310">
        <f>SUM(Q301:Q309)</f>
        <v>6818.955</v>
      </c>
    </row>
    <row r="311" spans="1:17" ht="24" customHeight="1">
      <c r="A311" s="479" t="s">
        <v>389</v>
      </c>
      <c r="B311" s="480"/>
      <c r="C311" s="480"/>
      <c r="D311" s="480"/>
      <c r="E311" s="480"/>
      <c r="F311" s="480"/>
      <c r="G311" s="480"/>
      <c r="H311" s="480"/>
      <c r="I311" s="480"/>
      <c r="J311" s="481"/>
      <c r="K311" s="346" t="str">
        <f>IF(Q304=0," ",".")</f>
        <v>.</v>
      </c>
      <c r="L311" s="410">
        <f>IF(OR(Калькуляция!$F311=3,),3,0)</f>
        <v>0</v>
      </c>
      <c r="M311" s="410">
        <f>IF(OR(Калькуляция!$F311=6,),6,0)</f>
        <v>0</v>
      </c>
      <c r="N311" s="410">
        <f>IF(OR(Калькуляция!$F311=9,),9,0)</f>
        <v>0</v>
      </c>
      <c r="O311" s="410">
        <f>IF(OR(Калькуляция!$F311=3,Калькуляция!$F311=6,Калькуляция!$F311=9,),369,0)</f>
        <v>0</v>
      </c>
      <c r="P311" s="311"/>
      <c r="Q311" s="371" t="str">
        <f>IF(SUM(Q304:Q304)=0,0,".")</f>
        <v>.</v>
      </c>
    </row>
    <row r="312" spans="1:17" ht="27" customHeight="1">
      <c r="A312" s="479" t="s">
        <v>390</v>
      </c>
      <c r="B312" s="480"/>
      <c r="C312" s="480"/>
      <c r="D312" s="480"/>
      <c r="E312" s="480"/>
      <c r="F312" s="480"/>
      <c r="G312" s="480"/>
      <c r="H312" s="480"/>
      <c r="I312" s="480"/>
      <c r="J312" s="481"/>
      <c r="K312" s="346" t="str">
        <f>IF(Q305=0," ",".")</f>
        <v> </v>
      </c>
      <c r="L312" s="410">
        <f>IF(OR(Калькуляция!$F312=3,),3,0)</f>
        <v>0</v>
      </c>
      <c r="M312" s="410">
        <f>IF(OR(Калькуляция!$F312=6,),6,0)</f>
        <v>0</v>
      </c>
      <c r="N312" s="410">
        <f>IF(OR(Калькуляция!$F312=9,),9,0)</f>
        <v>0</v>
      </c>
      <c r="O312" s="410">
        <f>IF(OR(Калькуляция!$F312=3,Калькуляция!$F312=6,Калькуляция!$F312=9,),369,0)</f>
        <v>0</v>
      </c>
      <c r="P312" s="311"/>
      <c r="Q312" s="371">
        <f>IF(SUM(Q305:Q305)=0,0,".")</f>
        <v>0</v>
      </c>
    </row>
    <row r="313" spans="1:17" s="29" customFormat="1" ht="18.75" customHeight="1">
      <c r="A313" s="469" t="s">
        <v>305</v>
      </c>
      <c r="B313" s="470"/>
      <c r="C313" s="470"/>
      <c r="D313" s="470"/>
      <c r="E313" s="470"/>
      <c r="F313" s="470"/>
      <c r="G313" s="470"/>
      <c r="H313" s="470"/>
      <c r="I313" s="470"/>
      <c r="J313" s="470"/>
      <c r="K313" s="344" t="str">
        <f>IF(Q322=0," ","(Разд.12)")</f>
        <v>(Разд.12)</v>
      </c>
      <c r="L313" s="410">
        <f>IF(OR(Калькуляция!$F313=3,),3,0)</f>
        <v>0</v>
      </c>
      <c r="M313" s="410">
        <f>IF(OR(Калькуляция!$F313=6,),6,0)</f>
        <v>0</v>
      </c>
      <c r="N313" s="410">
        <f>IF(OR(Калькуляция!$F313=9,),9,0)</f>
        <v>0</v>
      </c>
      <c r="O313" s="410">
        <f>IF(OR(Калькуляция!$F313=3,Калькуляция!$F313=6,Калькуляция!$F313=9,),369,0)</f>
        <v>0</v>
      </c>
      <c r="P313" s="308"/>
      <c r="Q313" s="308"/>
    </row>
    <row r="314" spans="1:17" s="29" customFormat="1" ht="12.75">
      <c r="A314" s="322">
        <f aca="true" t="shared" si="70" ref="A314:A321">ROW()-18</f>
        <v>296</v>
      </c>
      <c r="B314" s="212" t="s">
        <v>128</v>
      </c>
      <c r="C314" s="213" t="s">
        <v>265</v>
      </c>
      <c r="D314" s="212" t="s">
        <v>27</v>
      </c>
      <c r="E314" s="214"/>
      <c r="F314" s="215">
        <v>1</v>
      </c>
      <c r="G314" s="216">
        <v>188.5</v>
      </c>
      <c r="H314" s="138">
        <f aca="true" t="shared" si="71" ref="H314:H321">I314/$L$358</f>
        <v>207.35000000000005</v>
      </c>
      <c r="I314" s="71">
        <f aca="true" t="shared" si="72" ref="I314:I321">$J$7*(E314+PRODUCT(G314,$L$358))*IF(OR(F314=1,F314=10),(100-$D$15)/100,IF(OR(F314=3,F314=6,F314=9),(100-$D$16)/100,IF(OR(F314=2,F314=4),(100-$D$17)/100,1)))</f>
        <v>187.99733333333336</v>
      </c>
      <c r="J314" s="217">
        <f>PRODUCT(I314,1/$L$358,$L$357,1.02)/1.1</f>
        <v>13074.360000000002</v>
      </c>
      <c r="K314" s="307"/>
      <c r="L314" s="410">
        <f>IF(OR(Калькуляция!$F314=3,),3,0)</f>
        <v>0</v>
      </c>
      <c r="M314" s="410">
        <f>IF(OR(Калькуляция!$F314=6,),6,0)</f>
        <v>0</v>
      </c>
      <c r="N314" s="410">
        <f>IF(OR(Калькуляция!$F314=9,),9,0)</f>
        <v>0</v>
      </c>
      <c r="O314" s="410">
        <f>IF(OR(Калькуляция!$F314=3,Калькуляция!$F314=6,Калькуляция!$F314=9,),369,0)</f>
        <v>0</v>
      </c>
      <c r="P314" s="67">
        <f aca="true" t="shared" si="73" ref="P314:P321">I314*K314</f>
        <v>0</v>
      </c>
      <c r="Q314" s="68">
        <f aca="true" t="shared" si="74" ref="Q314:Q321">J314*K314</f>
        <v>0</v>
      </c>
    </row>
    <row r="315" spans="1:17" s="29" customFormat="1" ht="12.75">
      <c r="A315" s="322">
        <f t="shared" si="70"/>
        <v>297</v>
      </c>
      <c r="B315" s="212" t="s">
        <v>128</v>
      </c>
      <c r="C315" s="213" t="s">
        <v>266</v>
      </c>
      <c r="D315" s="212" t="s">
        <v>27</v>
      </c>
      <c r="E315" s="214"/>
      <c r="F315" s="215">
        <v>1</v>
      </c>
      <c r="G315" s="216">
        <v>213.9</v>
      </c>
      <c r="H315" s="138">
        <f t="shared" si="71"/>
        <v>235.29000000000005</v>
      </c>
      <c r="I315" s="71">
        <f t="shared" si="72"/>
        <v>213.32960000000003</v>
      </c>
      <c r="J315" s="217">
        <f>PRODUCT(I315,1/$L$358,$L$357,1.02)/1.1</f>
        <v>14836.104000000001</v>
      </c>
      <c r="K315" s="307">
        <v>1</v>
      </c>
      <c r="L315" s="410">
        <f>IF(OR(Калькуляция!$F315=3,),3,0)</f>
        <v>0</v>
      </c>
      <c r="M315" s="410">
        <f>IF(OR(Калькуляция!$F315=6,),6,0)</f>
        <v>0</v>
      </c>
      <c r="N315" s="410">
        <f>IF(OR(Калькуляция!$F315=9,),9,0)</f>
        <v>0</v>
      </c>
      <c r="O315" s="410">
        <f>IF(OR(Калькуляция!$F315=3,Калькуляция!$F315=6,Калькуляция!$F315=9,),369,0)</f>
        <v>0</v>
      </c>
      <c r="P315" s="67">
        <f t="shared" si="73"/>
        <v>213.32960000000003</v>
      </c>
      <c r="Q315" s="68">
        <f t="shared" si="74"/>
        <v>14836.104000000001</v>
      </c>
    </row>
    <row r="316" spans="1:17" ht="12.75">
      <c r="A316" s="322">
        <f t="shared" si="70"/>
        <v>298</v>
      </c>
      <c r="B316" s="220" t="s">
        <v>131</v>
      </c>
      <c r="C316" s="221" t="s">
        <v>132</v>
      </c>
      <c r="D316" s="222" t="s">
        <v>36</v>
      </c>
      <c r="E316" s="223">
        <v>40</v>
      </c>
      <c r="F316" s="224">
        <v>3</v>
      </c>
      <c r="G316" s="225">
        <v>0</v>
      </c>
      <c r="H316" s="138">
        <f t="shared" si="71"/>
        <v>38.82352941176471</v>
      </c>
      <c r="I316" s="71">
        <f t="shared" si="72"/>
        <v>35.2</v>
      </c>
      <c r="J316" s="217">
        <f aca="true" t="shared" si="75" ref="J316:J321">PRODUCT(I316,1/$L$358,$L$357,1.02)</f>
        <v>2692.8000000000006</v>
      </c>
      <c r="K316" s="307">
        <v>1</v>
      </c>
      <c r="L316" s="410">
        <f>IF(OR(Калькуляция!$F316=3,),3,0)</f>
        <v>3</v>
      </c>
      <c r="M316" s="410">
        <f>IF(OR(Калькуляция!$F316=6,),6,0)</f>
        <v>0</v>
      </c>
      <c r="N316" s="410">
        <f>IF(OR(Калькуляция!$F316=9,),9,0)</f>
        <v>0</v>
      </c>
      <c r="O316" s="410">
        <f>IF(OR(Калькуляция!$F316=3,Калькуляция!$F316=6,Калькуляция!$F316=9,),369,0)</f>
        <v>369</v>
      </c>
      <c r="P316" s="80">
        <f t="shared" si="73"/>
        <v>35.2</v>
      </c>
      <c r="Q316" s="68">
        <f t="shared" si="74"/>
        <v>2692.8000000000006</v>
      </c>
    </row>
    <row r="317" spans="1:17" s="29" customFormat="1" ht="12.75">
      <c r="A317" s="322">
        <f t="shared" si="70"/>
        <v>299</v>
      </c>
      <c r="B317" s="212" t="s">
        <v>128</v>
      </c>
      <c r="C317" s="218" t="s">
        <v>267</v>
      </c>
      <c r="D317" s="219" t="s">
        <v>27</v>
      </c>
      <c r="E317" s="214"/>
      <c r="F317" s="215">
        <v>1</v>
      </c>
      <c r="G317" s="216">
        <v>460</v>
      </c>
      <c r="H317" s="138">
        <f t="shared" si="71"/>
        <v>506.00000000000006</v>
      </c>
      <c r="I317" s="71">
        <f t="shared" si="72"/>
        <v>458.77333333333337</v>
      </c>
      <c r="J317" s="217">
        <f t="shared" si="75"/>
        <v>35096.16000000001</v>
      </c>
      <c r="K317" s="307"/>
      <c r="L317" s="410">
        <f>IF(OR(Калькуляция!$F317=3,),3,0)</f>
        <v>0</v>
      </c>
      <c r="M317" s="410">
        <f>IF(OR(Калькуляция!$F317=6,),6,0)</f>
        <v>0</v>
      </c>
      <c r="N317" s="410">
        <f>IF(OR(Калькуляция!$F317=9,),9,0)</f>
        <v>0</v>
      </c>
      <c r="O317" s="410">
        <f>IF(OR(Калькуляция!$F317=3,Калькуляция!$F317=6,Калькуляция!$F317=9,),369,0)</f>
        <v>0</v>
      </c>
      <c r="P317" s="67">
        <f t="shared" si="73"/>
        <v>0</v>
      </c>
      <c r="Q317" s="68">
        <f t="shared" si="74"/>
        <v>0</v>
      </c>
    </row>
    <row r="318" spans="1:17" s="29" customFormat="1" ht="12.75">
      <c r="A318" s="322">
        <f t="shared" si="70"/>
        <v>300</v>
      </c>
      <c r="B318" s="220" t="s">
        <v>129</v>
      </c>
      <c r="C318" s="221" t="s">
        <v>130</v>
      </c>
      <c r="D318" s="222" t="s">
        <v>30</v>
      </c>
      <c r="E318" s="223">
        <v>30</v>
      </c>
      <c r="F318" s="224">
        <v>2</v>
      </c>
      <c r="G318" s="225">
        <v>0</v>
      </c>
      <c r="H318" s="138">
        <f t="shared" si="71"/>
        <v>36.39705882352941</v>
      </c>
      <c r="I318" s="71">
        <f t="shared" si="72"/>
        <v>33</v>
      </c>
      <c r="J318" s="217">
        <f t="shared" si="75"/>
        <v>2524.5</v>
      </c>
      <c r="K318" s="307"/>
      <c r="L318" s="410">
        <f>IF(OR(Калькуляция!$F318=3,),3,0)</f>
        <v>0</v>
      </c>
      <c r="M318" s="410">
        <f>IF(OR(Калькуляция!$F318=6,),6,0)</f>
        <v>0</v>
      </c>
      <c r="N318" s="410">
        <f>IF(OR(Калькуляция!$F318=9,),9,0)</f>
        <v>0</v>
      </c>
      <c r="O318" s="410">
        <f>IF(OR(Калькуляция!$F318=3,Калькуляция!$F318=6,Калькуляция!$F318=9,),369,0)</f>
        <v>0</v>
      </c>
      <c r="P318" s="67">
        <f t="shared" si="73"/>
        <v>0</v>
      </c>
      <c r="Q318" s="68">
        <f t="shared" si="74"/>
        <v>0</v>
      </c>
    </row>
    <row r="319" spans="1:17" ht="12.75">
      <c r="A319" s="322">
        <f t="shared" si="70"/>
        <v>301</v>
      </c>
      <c r="B319" s="220" t="s">
        <v>131</v>
      </c>
      <c r="C319" s="218" t="s">
        <v>267</v>
      </c>
      <c r="D319" s="222" t="s">
        <v>36</v>
      </c>
      <c r="E319" s="223">
        <v>40</v>
      </c>
      <c r="F319" s="224">
        <v>3</v>
      </c>
      <c r="G319" s="225">
        <v>0</v>
      </c>
      <c r="H319" s="138">
        <f t="shared" si="71"/>
        <v>38.82352941176471</v>
      </c>
      <c r="I319" s="71">
        <f t="shared" si="72"/>
        <v>35.2</v>
      </c>
      <c r="J319" s="217">
        <f t="shared" si="75"/>
        <v>2692.8000000000006</v>
      </c>
      <c r="K319" s="307"/>
      <c r="L319" s="410">
        <f>IF(OR(Калькуляция!$F319=3,),3,0)</f>
        <v>3</v>
      </c>
      <c r="M319" s="410">
        <f>IF(OR(Калькуляция!$F319=6,),6,0)</f>
        <v>0</v>
      </c>
      <c r="N319" s="410">
        <f>IF(OR(Калькуляция!$F319=9,),9,0)</f>
        <v>0</v>
      </c>
      <c r="O319" s="410">
        <f>IF(OR(Калькуляция!$F319=3,Калькуляция!$F319=6,Калькуляция!$F319=9,),369,0)</f>
        <v>369</v>
      </c>
      <c r="P319" s="80">
        <f t="shared" si="73"/>
        <v>0</v>
      </c>
      <c r="Q319" s="68">
        <f t="shared" si="74"/>
        <v>0</v>
      </c>
    </row>
    <row r="320" spans="1:17" ht="12.75">
      <c r="A320" s="319">
        <f t="shared" si="70"/>
        <v>302</v>
      </c>
      <c r="B320" s="52" t="s">
        <v>238</v>
      </c>
      <c r="C320" s="130"/>
      <c r="D320" s="131" t="s">
        <v>36</v>
      </c>
      <c r="E320" s="122">
        <v>60</v>
      </c>
      <c r="F320" s="123">
        <v>1</v>
      </c>
      <c r="G320" s="124">
        <v>0</v>
      </c>
      <c r="H320" s="138">
        <f t="shared" si="71"/>
        <v>72.79411764705883</v>
      </c>
      <c r="I320" s="71">
        <f t="shared" si="72"/>
        <v>66</v>
      </c>
      <c r="J320" s="62">
        <f t="shared" si="75"/>
        <v>5049</v>
      </c>
      <c r="K320" s="307"/>
      <c r="L320" s="410">
        <f>IF(OR(Калькуляция!$F320=3,),3,0)</f>
        <v>0</v>
      </c>
      <c r="M320" s="410">
        <f>IF(OR(Калькуляция!$F320=6,),6,0)</f>
        <v>0</v>
      </c>
      <c r="N320" s="410">
        <f>IF(OR(Калькуляция!$F320=9,),9,0)</f>
        <v>0</v>
      </c>
      <c r="O320" s="410">
        <f>IF(OR(Калькуляция!$F320=3,Калькуляция!$F320=6,Калькуляция!$F320=9,),369,0)</f>
        <v>0</v>
      </c>
      <c r="P320" s="80">
        <f t="shared" si="73"/>
        <v>0</v>
      </c>
      <c r="Q320" s="68">
        <f t="shared" si="74"/>
        <v>0</v>
      </c>
    </row>
    <row r="321" spans="1:17" ht="12.75">
      <c r="A321" s="323">
        <f t="shared" si="70"/>
        <v>303</v>
      </c>
      <c r="B321" s="251" t="s">
        <v>237</v>
      </c>
      <c r="C321" s="252"/>
      <c r="D321" s="253" t="s">
        <v>36</v>
      </c>
      <c r="E321" s="254">
        <v>40</v>
      </c>
      <c r="F321" s="255">
        <v>3</v>
      </c>
      <c r="G321" s="256">
        <v>0</v>
      </c>
      <c r="H321" s="138">
        <f t="shared" si="71"/>
        <v>38.82352941176471</v>
      </c>
      <c r="I321" s="71">
        <f t="shared" si="72"/>
        <v>35.2</v>
      </c>
      <c r="J321" s="354">
        <f t="shared" si="75"/>
        <v>2692.8000000000006</v>
      </c>
      <c r="K321" s="307"/>
      <c r="L321" s="410">
        <f>IF(OR(Калькуляция!$F321=3,),3,0)</f>
        <v>3</v>
      </c>
      <c r="M321" s="410">
        <f>IF(OR(Калькуляция!$F321=6,),6,0)</f>
        <v>0</v>
      </c>
      <c r="N321" s="410">
        <f>IF(OR(Калькуляция!$F321=9,),9,0)</f>
        <v>0</v>
      </c>
      <c r="O321" s="410">
        <f>IF(OR(Калькуляция!$F321=3,Калькуляция!$F321=6,Калькуляция!$F321=9,),369,0)</f>
        <v>369</v>
      </c>
      <c r="P321" s="80">
        <f t="shared" si="73"/>
        <v>0</v>
      </c>
      <c r="Q321" s="68">
        <f t="shared" si="74"/>
        <v>0</v>
      </c>
    </row>
    <row r="322" spans="1:17" ht="30.75" customHeight="1">
      <c r="A322" s="464"/>
      <c r="B322" s="465"/>
      <c r="C322" s="465"/>
      <c r="D322" s="466"/>
      <c r="E322" s="467"/>
      <c r="F322" s="467"/>
      <c r="G322" s="467"/>
      <c r="H322" s="467"/>
      <c r="I322" s="467"/>
      <c r="J322" s="468"/>
      <c r="K322" s="346" t="str">
        <f>IF(Q322=0," ","Итого по разделу:")</f>
        <v>Итого по разделу:</v>
      </c>
      <c r="L322" s="410">
        <f>IF(OR(Калькуляция!$F322=3,),3,0)</f>
        <v>0</v>
      </c>
      <c r="M322" s="410">
        <f>IF(OR(Калькуляция!$F322=6,),6,0)</f>
        <v>0</v>
      </c>
      <c r="N322" s="410">
        <f>IF(OR(Калькуляция!$F322=9,),9,0)</f>
        <v>0</v>
      </c>
      <c r="O322" s="410">
        <f>IF(OR(Калькуляция!$F322=3,Калькуляция!$F322=6,Калькуляция!$F322=9,),369,0)</f>
        <v>0</v>
      </c>
      <c r="P322" s="311"/>
      <c r="Q322" s="310">
        <f>SUM(Q314:Q321)</f>
        <v>17528.904000000002</v>
      </c>
    </row>
    <row r="323" spans="1:17" s="29" customFormat="1" ht="22.5" customHeight="1">
      <c r="A323" s="469" t="s">
        <v>312</v>
      </c>
      <c r="B323" s="470"/>
      <c r="C323" s="470"/>
      <c r="D323" s="470"/>
      <c r="E323" s="470"/>
      <c r="F323" s="470"/>
      <c r="G323" s="470"/>
      <c r="H323" s="470"/>
      <c r="I323" s="470"/>
      <c r="J323" s="470"/>
      <c r="K323" s="344" t="str">
        <f>IF(Q342=0," ","(Разд.13)")</f>
        <v>(Разд.13)</v>
      </c>
      <c r="L323" s="410">
        <f>IF(OR(Калькуляция!$F323=3,),3,0)</f>
        <v>0</v>
      </c>
      <c r="M323" s="410">
        <f>IF(OR(Калькуляция!$F323=6,),6,0)</f>
        <v>0</v>
      </c>
      <c r="N323" s="410">
        <f>IF(OR(Калькуляция!$F323=9,),9,0)</f>
        <v>0</v>
      </c>
      <c r="O323" s="410">
        <f>IF(OR(Калькуляция!$F323=3,Калькуляция!$F323=6,Калькуляция!$F323=9,),369,0)</f>
        <v>0</v>
      </c>
      <c r="P323" s="308"/>
      <c r="Q323" s="310"/>
    </row>
    <row r="324" spans="1:21" s="401" customFormat="1" ht="12.75">
      <c r="A324" s="320">
        <f aca="true" t="shared" si="76" ref="A324:A341">ROW()-18</f>
        <v>306</v>
      </c>
      <c r="B324" s="205" t="s">
        <v>214</v>
      </c>
      <c r="C324" s="206" t="s">
        <v>215</v>
      </c>
      <c r="D324" s="205" t="s">
        <v>27</v>
      </c>
      <c r="E324" s="207"/>
      <c r="F324" s="208">
        <v>1</v>
      </c>
      <c r="G324" s="209">
        <v>160</v>
      </c>
      <c r="H324" s="138">
        <f aca="true" t="shared" si="77" ref="H324:H341">I324/$L$358</f>
        <v>176.00000000000003</v>
      </c>
      <c r="I324" s="71">
        <f aca="true" t="shared" si="78" ref="I324:I341">$J$7*(E324+PRODUCT(G324,$L$358))*IF(OR(F324=1,F324=10),(100-$D$15)/100,IF(OR(F324=3,F324=6,F324=9),(100-$D$16)/100,IF(OR(F324=2,F324=4),(100-$D$17)/100,1)))</f>
        <v>159.57333333333335</v>
      </c>
      <c r="J324" s="247">
        <f aca="true" t="shared" si="79" ref="J324:J341">PRODUCT(I324,1/$L$358,$L$357,1.02)</f>
        <v>12207.360000000002</v>
      </c>
      <c r="K324" s="307"/>
      <c r="L324" s="410">
        <f>IF(OR(Калькуляция!$F324=3,),3,0)</f>
        <v>0</v>
      </c>
      <c r="M324" s="410">
        <f>IF(OR(Калькуляция!$F324=6,),6,0)</f>
        <v>0</v>
      </c>
      <c r="N324" s="410">
        <f>IF(OR(Калькуляция!$F324=9,),9,0)</f>
        <v>0</v>
      </c>
      <c r="O324" s="410">
        <f>IF(OR(Калькуляция!$F324=3,Калькуляция!$F324=6,Калькуляция!$F324=9,),369,0)</f>
        <v>0</v>
      </c>
      <c r="P324" s="211">
        <f aca="true" t="shared" si="80" ref="P324:P341">I324*K324</f>
        <v>0</v>
      </c>
      <c r="Q324" s="400">
        <f aca="true" t="shared" si="81" ref="Q324:Q341">J324*K324</f>
        <v>0</v>
      </c>
      <c r="R324" s="399"/>
      <c r="S324" s="399"/>
      <c r="T324" s="399"/>
      <c r="U324" s="399"/>
    </row>
    <row r="325" spans="1:21" s="401" customFormat="1" ht="12.75">
      <c r="A325" s="320">
        <f t="shared" si="76"/>
        <v>307</v>
      </c>
      <c r="B325" s="205" t="s">
        <v>214</v>
      </c>
      <c r="C325" s="206" t="s">
        <v>442</v>
      </c>
      <c r="D325" s="205" t="s">
        <v>27</v>
      </c>
      <c r="E325" s="207"/>
      <c r="F325" s="208">
        <v>1</v>
      </c>
      <c r="G325" s="209">
        <v>60</v>
      </c>
      <c r="H325" s="138">
        <f>I325/$L$358</f>
        <v>66</v>
      </c>
      <c r="I325" s="71">
        <f>$J$7*(E325+PRODUCT(G325,$L$358))*IF(OR(F325=1,F325=10),(100-$D$15)/100,IF(OR(F325=3,F325=6,F325=9),(100-$D$16)/100,IF(OR(F325=2,F325=4),(100-$D$17)/100,1)))</f>
        <v>59.84</v>
      </c>
      <c r="J325" s="247">
        <f t="shared" si="79"/>
        <v>4577.760000000001</v>
      </c>
      <c r="K325" s="307">
        <v>1</v>
      </c>
      <c r="L325" s="410">
        <f>IF(OR(Калькуляция!$F325=3,),3,0)</f>
        <v>0</v>
      </c>
      <c r="M325" s="410">
        <f>IF(OR(Калькуляция!$F325=6,),6,0)</f>
        <v>0</v>
      </c>
      <c r="N325" s="410">
        <f>IF(OR(Калькуляция!$F325=9,),9,0)</f>
        <v>0</v>
      </c>
      <c r="O325" s="410">
        <f>IF(OR(Калькуляция!$F325=3,Калькуляция!$F325=6,Калькуляция!$F325=9,),369,0)</f>
        <v>0</v>
      </c>
      <c r="P325" s="211">
        <f>I325*K325</f>
        <v>59.84</v>
      </c>
      <c r="Q325" s="400">
        <f>J325*K325</f>
        <v>4577.760000000001</v>
      </c>
      <c r="R325" s="399"/>
      <c r="S325" s="399"/>
      <c r="T325" s="399"/>
      <c r="U325" s="399"/>
    </row>
    <row r="326" spans="1:21" s="401" customFormat="1" ht="12.75">
      <c r="A326" s="320">
        <f t="shared" si="76"/>
        <v>308</v>
      </c>
      <c r="B326" s="205" t="s">
        <v>244</v>
      </c>
      <c r="C326" s="412" t="s">
        <v>402</v>
      </c>
      <c r="D326" s="205" t="s">
        <v>27</v>
      </c>
      <c r="E326" s="207">
        <v>35</v>
      </c>
      <c r="F326" s="208">
        <v>1</v>
      </c>
      <c r="G326" s="209">
        <v>0</v>
      </c>
      <c r="H326" s="138">
        <f t="shared" si="77"/>
        <v>42.46323529411765</v>
      </c>
      <c r="I326" s="71">
        <f t="shared" si="78"/>
        <v>38.5</v>
      </c>
      <c r="J326" s="247">
        <f t="shared" si="79"/>
        <v>2945.2500000000005</v>
      </c>
      <c r="K326" s="307">
        <v>1</v>
      </c>
      <c r="L326" s="410">
        <f>IF(OR(Калькуляция!$F326=3,),3,0)</f>
        <v>0</v>
      </c>
      <c r="M326" s="410">
        <f>IF(OR(Калькуляция!$F326=6,),6,0)</f>
        <v>0</v>
      </c>
      <c r="N326" s="410">
        <f>IF(OR(Калькуляция!$F326=9,),9,0)</f>
        <v>0</v>
      </c>
      <c r="O326" s="410">
        <f>IF(OR(Калькуляция!$F326=3,Калькуляция!$F326=6,Калькуляция!$F326=9,),369,0)</f>
        <v>0</v>
      </c>
      <c r="P326" s="390">
        <f t="shared" si="80"/>
        <v>38.5</v>
      </c>
      <c r="Q326" s="400">
        <f t="shared" si="81"/>
        <v>2945.2500000000005</v>
      </c>
      <c r="R326" s="399"/>
      <c r="S326" s="399"/>
      <c r="T326" s="399"/>
      <c r="U326" s="399"/>
    </row>
    <row r="327" spans="1:21" s="401" customFormat="1" ht="12.75">
      <c r="A327" s="320">
        <f t="shared" si="76"/>
        <v>309</v>
      </c>
      <c r="B327" s="205" t="s">
        <v>397</v>
      </c>
      <c r="C327" s="206" t="s">
        <v>396</v>
      </c>
      <c r="D327" s="205" t="s">
        <v>27</v>
      </c>
      <c r="E327" s="207">
        <v>40</v>
      </c>
      <c r="F327" s="208">
        <v>1</v>
      </c>
      <c r="G327" s="209">
        <v>0</v>
      </c>
      <c r="H327" s="138">
        <f t="shared" si="77"/>
        <v>48.529411764705884</v>
      </c>
      <c r="I327" s="71">
        <f t="shared" si="78"/>
        <v>44</v>
      </c>
      <c r="J327" s="247">
        <f t="shared" si="79"/>
        <v>3366</v>
      </c>
      <c r="K327" s="307">
        <v>1</v>
      </c>
      <c r="L327" s="410">
        <f>IF(OR(Калькуляция!$F327=3,),3,0)</f>
        <v>0</v>
      </c>
      <c r="M327" s="410">
        <f>IF(OR(Калькуляция!$F327=6,),6,0)</f>
        <v>0</v>
      </c>
      <c r="N327" s="410">
        <f>IF(OR(Калькуляция!$F327=9,),9,0)</f>
        <v>0</v>
      </c>
      <c r="O327" s="410">
        <f>IF(OR(Калькуляция!$F327=3,Калькуляция!$F327=6,Калькуляция!$F327=9,),369,0)</f>
        <v>0</v>
      </c>
      <c r="P327" s="390">
        <f t="shared" si="80"/>
        <v>44</v>
      </c>
      <c r="Q327" s="400">
        <f t="shared" si="81"/>
        <v>3366</v>
      </c>
      <c r="R327" s="399"/>
      <c r="S327" s="399"/>
      <c r="T327" s="399"/>
      <c r="U327" s="399"/>
    </row>
    <row r="328" spans="1:21" s="401" customFormat="1" ht="12.75">
      <c r="A328" s="320">
        <f t="shared" si="76"/>
        <v>310</v>
      </c>
      <c r="B328" s="391" t="s">
        <v>28</v>
      </c>
      <c r="C328" s="210" t="s">
        <v>213</v>
      </c>
      <c r="D328" s="205" t="s">
        <v>27</v>
      </c>
      <c r="E328" s="392">
        <v>50</v>
      </c>
      <c r="F328" s="393">
        <v>2</v>
      </c>
      <c r="G328" s="394">
        <v>0</v>
      </c>
      <c r="H328" s="138">
        <f t="shared" si="77"/>
        <v>60.66176470588236</v>
      </c>
      <c r="I328" s="71">
        <f t="shared" si="78"/>
        <v>55.00000000000001</v>
      </c>
      <c r="J328" s="247">
        <f t="shared" si="79"/>
        <v>4207.500000000001</v>
      </c>
      <c r="K328" s="307">
        <v>1</v>
      </c>
      <c r="L328" s="410">
        <f>IF(OR(Калькуляция!$F328=3,),3,0)</f>
        <v>0</v>
      </c>
      <c r="M328" s="410">
        <f>IF(OR(Калькуляция!$F328=6,),6,0)</f>
        <v>0</v>
      </c>
      <c r="N328" s="410">
        <f>IF(OR(Калькуляция!$F328=9,),9,0)</f>
        <v>0</v>
      </c>
      <c r="O328" s="410">
        <f>IF(OR(Калькуляция!$F328=3,Калькуляция!$F328=6,Калькуляция!$F328=9,),369,0)</f>
        <v>0</v>
      </c>
      <c r="P328" s="390">
        <f t="shared" si="80"/>
        <v>55.00000000000001</v>
      </c>
      <c r="Q328" s="400">
        <f t="shared" si="81"/>
        <v>4207.500000000001</v>
      </c>
      <c r="R328" s="399"/>
      <c r="S328" s="399"/>
      <c r="T328" s="399"/>
      <c r="U328" s="399"/>
    </row>
    <row r="329" spans="1:21" s="401" customFormat="1" ht="12.75">
      <c r="A329" s="335">
        <f t="shared" si="76"/>
        <v>311</v>
      </c>
      <c r="B329" s="429" t="s">
        <v>416</v>
      </c>
      <c r="C329" s="352" t="s">
        <v>213</v>
      </c>
      <c r="D329" s="430" t="s">
        <v>36</v>
      </c>
      <c r="E329" s="431">
        <v>50</v>
      </c>
      <c r="F329" s="432">
        <v>9</v>
      </c>
      <c r="G329" s="433">
        <v>0</v>
      </c>
      <c r="H329" s="138">
        <f t="shared" si="77"/>
        <v>48.52941176470589</v>
      </c>
      <c r="I329" s="71">
        <f t="shared" si="78"/>
        <v>44.00000000000001</v>
      </c>
      <c r="J329" s="247">
        <f t="shared" si="79"/>
        <v>3366.0000000000005</v>
      </c>
      <c r="K329" s="307">
        <v>1</v>
      </c>
      <c r="L329" s="410">
        <f>IF(OR(Калькуляция!$F329=3,),3,0)</f>
        <v>0</v>
      </c>
      <c r="M329" s="410">
        <f>IF(OR(Калькуляция!$F329=6,),6,0)</f>
        <v>0</v>
      </c>
      <c r="N329" s="410">
        <f>IF(OR(Калькуляция!$F329=9,),9,0)</f>
        <v>9</v>
      </c>
      <c r="O329" s="410">
        <f>IF(OR(Калькуляция!$F329=3,Калькуляция!$F329=6,Калькуляция!$F329=9,),369,0)</f>
        <v>369</v>
      </c>
      <c r="P329" s="398">
        <f t="shared" si="80"/>
        <v>44.00000000000001</v>
      </c>
      <c r="Q329" s="400">
        <f t="shared" si="81"/>
        <v>3366.0000000000005</v>
      </c>
      <c r="R329" s="399"/>
      <c r="S329" s="399"/>
      <c r="T329" s="399"/>
      <c r="U329" s="399"/>
    </row>
    <row r="330" spans="1:21" s="401" customFormat="1" ht="12.75">
      <c r="A330" s="320">
        <f t="shared" si="76"/>
        <v>312</v>
      </c>
      <c r="B330" s="395" t="s">
        <v>417</v>
      </c>
      <c r="C330" s="210" t="s">
        <v>213</v>
      </c>
      <c r="D330" s="396" t="s">
        <v>36</v>
      </c>
      <c r="E330" s="392">
        <v>10</v>
      </c>
      <c r="F330" s="397">
        <v>6</v>
      </c>
      <c r="G330" s="394">
        <v>0</v>
      </c>
      <c r="H330" s="138">
        <f t="shared" si="77"/>
        <v>9.705882352941178</v>
      </c>
      <c r="I330" s="71">
        <f t="shared" si="78"/>
        <v>8.8</v>
      </c>
      <c r="J330" s="247">
        <f t="shared" si="79"/>
        <v>673.2000000000002</v>
      </c>
      <c r="K330" s="307">
        <v>1</v>
      </c>
      <c r="L330" s="410">
        <f>IF(OR(Калькуляция!$F330=3,),3,0)</f>
        <v>0</v>
      </c>
      <c r="M330" s="410">
        <f>IF(OR(Калькуляция!$F330=6,),6,0)</f>
        <v>6</v>
      </c>
      <c r="N330" s="410">
        <f>IF(OR(Калькуляция!$F330=9,),9,0)</f>
        <v>0</v>
      </c>
      <c r="O330" s="410">
        <f>IF(OR(Калькуляция!$F330=3,Калькуляция!$F330=6,Калькуляция!$F330=9,),369,0)</f>
        <v>369</v>
      </c>
      <c r="P330" s="390">
        <f t="shared" si="80"/>
        <v>8.8</v>
      </c>
      <c r="Q330" s="400">
        <f t="shared" si="81"/>
        <v>673.2000000000002</v>
      </c>
      <c r="R330" s="399"/>
      <c r="S330" s="399"/>
      <c r="T330" s="399"/>
      <c r="U330" s="399"/>
    </row>
    <row r="331" spans="1:21" s="402" customFormat="1" ht="12.75">
      <c r="A331" s="320">
        <f t="shared" si="76"/>
        <v>313</v>
      </c>
      <c r="B331" s="205" t="s">
        <v>160</v>
      </c>
      <c r="C331" s="206" t="s">
        <v>250</v>
      </c>
      <c r="D331" s="205" t="s">
        <v>27</v>
      </c>
      <c r="E331" s="207">
        <v>61</v>
      </c>
      <c r="F331" s="208">
        <v>10</v>
      </c>
      <c r="G331" s="209">
        <v>0</v>
      </c>
      <c r="H331" s="138">
        <f t="shared" si="77"/>
        <v>74.00735294117648</v>
      </c>
      <c r="I331" s="71">
        <f t="shared" si="78"/>
        <v>67.10000000000001</v>
      </c>
      <c r="J331" s="247">
        <f t="shared" si="79"/>
        <v>5133.150000000002</v>
      </c>
      <c r="K331" s="307"/>
      <c r="L331" s="410">
        <f>IF(OR(Калькуляция!$F331=3,),3,0)</f>
        <v>0</v>
      </c>
      <c r="M331" s="410">
        <f>IF(OR(Калькуляция!$F331=6,),6,0)</f>
        <v>0</v>
      </c>
      <c r="N331" s="410">
        <f>IF(OR(Калькуляция!$F331=9,),9,0)</f>
        <v>0</v>
      </c>
      <c r="O331" s="410">
        <f>IF(OR(Калькуляция!$F331=3,Калькуляция!$F331=6,Калькуляция!$F331=9,),369,0)</f>
        <v>0</v>
      </c>
      <c r="P331" s="390">
        <f t="shared" si="80"/>
        <v>0</v>
      </c>
      <c r="Q331" s="400">
        <f t="shared" si="81"/>
        <v>0</v>
      </c>
      <c r="R331" s="405"/>
      <c r="S331" s="405"/>
      <c r="T331" s="405"/>
      <c r="U331" s="405"/>
    </row>
    <row r="332" spans="1:21" s="401" customFormat="1" ht="12.75">
      <c r="A332" s="320">
        <f t="shared" si="76"/>
        <v>314</v>
      </c>
      <c r="B332" s="205" t="s">
        <v>216</v>
      </c>
      <c r="C332" s="206" t="s">
        <v>290</v>
      </c>
      <c r="D332" s="205" t="s">
        <v>27</v>
      </c>
      <c r="E332" s="207">
        <v>61</v>
      </c>
      <c r="F332" s="208">
        <v>1</v>
      </c>
      <c r="G332" s="209">
        <v>0</v>
      </c>
      <c r="H332" s="138">
        <f t="shared" si="77"/>
        <v>74.00735294117648</v>
      </c>
      <c r="I332" s="71">
        <f t="shared" si="78"/>
        <v>67.10000000000001</v>
      </c>
      <c r="J332" s="247">
        <f t="shared" si="79"/>
        <v>5133.150000000002</v>
      </c>
      <c r="K332" s="307"/>
      <c r="L332" s="410">
        <f>IF(OR(Калькуляция!$F332=3,),3,0)</f>
        <v>0</v>
      </c>
      <c r="M332" s="410">
        <f>IF(OR(Калькуляция!$F332=6,),6,0)</f>
        <v>0</v>
      </c>
      <c r="N332" s="410">
        <f>IF(OR(Калькуляция!$F332=9,),9,0)</f>
        <v>0</v>
      </c>
      <c r="O332" s="410">
        <f>IF(OR(Калькуляция!$F332=3,Калькуляция!$F332=6,Калькуляция!$F332=9,),369,0)</f>
        <v>0</v>
      </c>
      <c r="P332" s="390">
        <f t="shared" si="80"/>
        <v>0</v>
      </c>
      <c r="Q332" s="400">
        <f t="shared" si="81"/>
        <v>0</v>
      </c>
      <c r="R332" s="399"/>
      <c r="S332" s="399"/>
      <c r="T332" s="399"/>
      <c r="U332" s="399"/>
    </row>
    <row r="333" spans="1:21" s="401" customFormat="1" ht="12.75">
      <c r="A333" s="320">
        <f t="shared" si="76"/>
        <v>315</v>
      </c>
      <c r="B333" s="205" t="s">
        <v>217</v>
      </c>
      <c r="C333" s="206" t="s">
        <v>291</v>
      </c>
      <c r="D333" s="205" t="s">
        <v>27</v>
      </c>
      <c r="E333" s="207">
        <v>84</v>
      </c>
      <c r="F333" s="208">
        <v>1</v>
      </c>
      <c r="G333" s="209">
        <v>0</v>
      </c>
      <c r="H333" s="138">
        <f t="shared" si="77"/>
        <v>101.91176470588236</v>
      </c>
      <c r="I333" s="71">
        <f t="shared" si="78"/>
        <v>92.4</v>
      </c>
      <c r="J333" s="247">
        <f t="shared" si="79"/>
        <v>7068.600000000001</v>
      </c>
      <c r="K333" s="307"/>
      <c r="L333" s="410">
        <f>IF(OR(Калькуляция!$F333=3,),3,0)</f>
        <v>0</v>
      </c>
      <c r="M333" s="410">
        <f>IF(OR(Калькуляция!$F333=6,),6,0)</f>
        <v>0</v>
      </c>
      <c r="N333" s="410">
        <f>IF(OR(Калькуляция!$F333=9,),9,0)</f>
        <v>0</v>
      </c>
      <c r="O333" s="410">
        <f>IF(OR(Калькуляция!$F333=3,Калькуляция!$F333=6,Калькуляция!$F333=9,),369,0)</f>
        <v>0</v>
      </c>
      <c r="P333" s="390">
        <f t="shared" si="80"/>
        <v>0</v>
      </c>
      <c r="Q333" s="400">
        <f t="shared" si="81"/>
        <v>0</v>
      </c>
      <c r="R333" s="399"/>
      <c r="S333" s="399"/>
      <c r="T333" s="399"/>
      <c r="U333" s="399"/>
    </row>
    <row r="334" spans="1:21" s="402" customFormat="1" ht="12.75">
      <c r="A334" s="320">
        <f t="shared" si="76"/>
        <v>316</v>
      </c>
      <c r="B334" s="205" t="s">
        <v>393</v>
      </c>
      <c r="C334" s="206" t="s">
        <v>394</v>
      </c>
      <c r="D334" s="205" t="s">
        <v>27</v>
      </c>
      <c r="E334" s="207">
        <v>160</v>
      </c>
      <c r="F334" s="208">
        <v>1</v>
      </c>
      <c r="G334" s="394">
        <v>0</v>
      </c>
      <c r="H334" s="138">
        <f t="shared" si="77"/>
        <v>194.11764705882354</v>
      </c>
      <c r="I334" s="71">
        <f t="shared" si="78"/>
        <v>176</v>
      </c>
      <c r="J334" s="247">
        <f t="shared" si="79"/>
        <v>13464</v>
      </c>
      <c r="K334" s="307"/>
      <c r="L334" s="410">
        <f>IF(OR(Калькуляция!$F334=3,),3,0)</f>
        <v>0</v>
      </c>
      <c r="M334" s="410">
        <f>IF(OR(Калькуляция!$F334=6,),6,0)</f>
        <v>0</v>
      </c>
      <c r="N334" s="410">
        <f>IF(OR(Калькуляция!$F334=9,),9,0)</f>
        <v>0</v>
      </c>
      <c r="O334" s="410">
        <f>IF(OR(Калькуляция!$F334=3,Калькуляция!$F334=6,Калькуляция!$F334=9,),369,0)</f>
        <v>0</v>
      </c>
      <c r="P334" s="390">
        <f t="shared" si="80"/>
        <v>0</v>
      </c>
      <c r="Q334" s="400">
        <f t="shared" si="81"/>
        <v>0</v>
      </c>
      <c r="R334" s="405"/>
      <c r="S334" s="405"/>
      <c r="T334" s="405"/>
      <c r="U334" s="405"/>
    </row>
    <row r="335" spans="1:21" s="402" customFormat="1" ht="12.75">
      <c r="A335" s="320">
        <f t="shared" si="76"/>
        <v>317</v>
      </c>
      <c r="B335" s="446" t="s">
        <v>441</v>
      </c>
      <c r="C335" s="206" t="s">
        <v>443</v>
      </c>
      <c r="D335" s="205" t="s">
        <v>27</v>
      </c>
      <c r="E335" s="207"/>
      <c r="F335" s="208">
        <v>1</v>
      </c>
      <c r="G335" s="394">
        <v>74</v>
      </c>
      <c r="H335" s="138">
        <f>I335/$L$358</f>
        <v>81.4</v>
      </c>
      <c r="I335" s="71">
        <f>$J$7*(E335+PRODUCT(G335,$L$358))*IF(OR(F335=1,F335=10),(100-$D$15)/100,IF(OR(F335=3,F335=6,F335=9),(100-$D$16)/100,IF(OR(F335=2,F335=4),(100-$D$17)/100,1)))</f>
        <v>73.80266666666667</v>
      </c>
      <c r="J335" s="247">
        <f t="shared" si="79"/>
        <v>5645.904</v>
      </c>
      <c r="K335" s="307"/>
      <c r="L335" s="410">
        <f>IF(OR(Калькуляция!$F335=3,),3,0)</f>
        <v>0</v>
      </c>
      <c r="M335" s="410">
        <f>IF(OR(Калькуляция!$F335=6,),6,0)</f>
        <v>0</v>
      </c>
      <c r="N335" s="410">
        <f>IF(OR(Калькуляция!$F335=9,),9,0)</f>
        <v>0</v>
      </c>
      <c r="O335" s="410">
        <f>IF(OR(Калькуляция!$F335=3,Калькуляция!$F335=6,Калькуляция!$F335=9,),369,0)</f>
        <v>0</v>
      </c>
      <c r="P335" s="390">
        <f>I335*K335</f>
        <v>0</v>
      </c>
      <c r="Q335" s="400">
        <f>J335*K335</f>
        <v>0</v>
      </c>
      <c r="R335" s="405"/>
      <c r="S335" s="405"/>
      <c r="T335" s="405"/>
      <c r="U335" s="405"/>
    </row>
    <row r="336" spans="1:21" s="401" customFormat="1" ht="12.75">
      <c r="A336" s="320">
        <f t="shared" si="76"/>
        <v>318</v>
      </c>
      <c r="B336" s="446" t="s">
        <v>444</v>
      </c>
      <c r="C336" s="206" t="s">
        <v>445</v>
      </c>
      <c r="D336" s="205" t="s">
        <v>27</v>
      </c>
      <c r="E336" s="207"/>
      <c r="F336" s="208">
        <v>1</v>
      </c>
      <c r="G336" s="209">
        <v>200</v>
      </c>
      <c r="H336" s="138">
        <f>I336/$L$358</f>
        <v>220</v>
      </c>
      <c r="I336" s="71">
        <f>$J$7*(E336+PRODUCT(G336,$L$358))*IF(OR(F336=1,F336=10),(100-$D$15)/100,IF(OR(F336=3,F336=6,F336=9),(100-$D$16)/100,IF(OR(F336=2,F336=4),(100-$D$17)/100,1)))</f>
        <v>199.46666666666667</v>
      </c>
      <c r="J336" s="247">
        <f t="shared" si="79"/>
        <v>15259.200000000003</v>
      </c>
      <c r="K336" s="307"/>
      <c r="L336" s="410">
        <f>IF(OR(Калькуляция!$F336=3,),3,0)</f>
        <v>0</v>
      </c>
      <c r="M336" s="410">
        <f>IF(OR(Калькуляция!$F336=6,),6,0)</f>
        <v>0</v>
      </c>
      <c r="N336" s="410">
        <f>IF(OR(Калькуляция!$F336=9,),9,0)</f>
        <v>0</v>
      </c>
      <c r="O336" s="410">
        <f>IF(OR(Калькуляция!$F336=3,Калькуляция!$F336=6,Калькуляция!$F336=9,),369,0)</f>
        <v>0</v>
      </c>
      <c r="P336" s="211">
        <f>I336*K336</f>
        <v>0</v>
      </c>
      <c r="Q336" s="400">
        <f>J336*K336</f>
        <v>0</v>
      </c>
      <c r="R336" s="399"/>
      <c r="S336" s="399"/>
      <c r="T336" s="399"/>
      <c r="U336" s="399"/>
    </row>
    <row r="337" spans="1:17" ht="12.75">
      <c r="A337" s="319">
        <f t="shared" si="76"/>
        <v>319</v>
      </c>
      <c r="B337" s="53" t="s">
        <v>166</v>
      </c>
      <c r="C337" s="210" t="s">
        <v>395</v>
      </c>
      <c r="D337" s="54" t="s">
        <v>30</v>
      </c>
      <c r="E337" s="126">
        <v>15</v>
      </c>
      <c r="F337" s="127">
        <v>2</v>
      </c>
      <c r="G337" s="128">
        <v>0</v>
      </c>
      <c r="H337" s="138">
        <f>I337/$L$358</f>
        <v>18.198529411764707</v>
      </c>
      <c r="I337" s="71">
        <f>$J$7*(E337+PRODUCT(G337,$L$358))*IF(OR(F337=1,F337=10),(100-$D$15)/100,IF(OR(F337=3,F337=6,F337=9),(100-$D$16)/100,IF(OR(F337=2,F337=4),(100-$D$17)/100,1)))</f>
        <v>16.5</v>
      </c>
      <c r="J337" s="62">
        <f t="shared" si="79"/>
        <v>1262.25</v>
      </c>
      <c r="K337" s="307"/>
      <c r="L337" s="410">
        <f>IF(OR(Калькуляция!$F337=3,),3,0)</f>
        <v>0</v>
      </c>
      <c r="M337" s="410">
        <f>IF(OR(Калькуляция!$F337=6,),6,0)</f>
        <v>0</v>
      </c>
      <c r="N337" s="410">
        <f>IF(OR(Калькуляция!$F337=9,),9,0)</f>
        <v>0</v>
      </c>
      <c r="O337" s="410">
        <f>IF(OR(Калькуляция!$F337=3,Калькуляция!$F337=6,Калькуляция!$F337=9,),369,0)</f>
        <v>0</v>
      </c>
      <c r="P337" s="80">
        <f>I337*K337</f>
        <v>0</v>
      </c>
      <c r="Q337" s="68">
        <f>J337*K337</f>
        <v>0</v>
      </c>
    </row>
    <row r="338" spans="1:21" s="401" customFormat="1" ht="12.75">
      <c r="A338" s="320">
        <f t="shared" si="76"/>
        <v>320</v>
      </c>
      <c r="B338" s="395" t="s">
        <v>415</v>
      </c>
      <c r="C338" s="210" t="s">
        <v>395</v>
      </c>
      <c r="D338" s="396" t="s">
        <v>36</v>
      </c>
      <c r="E338" s="392">
        <v>20</v>
      </c>
      <c r="F338" s="397">
        <v>3</v>
      </c>
      <c r="G338" s="394">
        <v>0</v>
      </c>
      <c r="H338" s="138">
        <f t="shared" si="77"/>
        <v>19.411764705882355</v>
      </c>
      <c r="I338" s="71">
        <f t="shared" si="78"/>
        <v>17.6</v>
      </c>
      <c r="J338" s="247">
        <f t="shared" si="79"/>
        <v>1346.4000000000003</v>
      </c>
      <c r="K338" s="307"/>
      <c r="L338" s="410">
        <f>IF(OR(Калькуляция!$F338=3,),3,0)</f>
        <v>3</v>
      </c>
      <c r="M338" s="410">
        <f>IF(OR(Калькуляция!$F338=6,),6,0)</f>
        <v>0</v>
      </c>
      <c r="N338" s="410">
        <f>IF(OR(Калькуляция!$F338=9,),9,0)</f>
        <v>0</v>
      </c>
      <c r="O338" s="410">
        <f>IF(OR(Калькуляция!$F338=3,Калькуляция!$F338=6,Калькуляция!$F338=9,),369,0)</f>
        <v>369</v>
      </c>
      <c r="P338" s="390">
        <f t="shared" si="80"/>
        <v>0</v>
      </c>
      <c r="Q338" s="400">
        <f t="shared" si="81"/>
        <v>0</v>
      </c>
      <c r="R338" s="399"/>
      <c r="S338" s="399"/>
      <c r="T338" s="399"/>
      <c r="U338" s="399"/>
    </row>
    <row r="339" spans="1:21" s="402" customFormat="1" ht="12.75">
      <c r="A339" s="320">
        <f>ROW()-18</f>
        <v>321</v>
      </c>
      <c r="B339" s="205" t="s">
        <v>467</v>
      </c>
      <c r="C339" s="98"/>
      <c r="D339" s="205" t="s">
        <v>27</v>
      </c>
      <c r="E339" s="207">
        <v>10</v>
      </c>
      <c r="F339" s="208">
        <v>10</v>
      </c>
      <c r="G339" s="209">
        <v>0</v>
      </c>
      <c r="H339" s="138">
        <f t="shared" si="77"/>
        <v>12.132352941176471</v>
      </c>
      <c r="I339" s="71">
        <f t="shared" si="78"/>
        <v>11</v>
      </c>
      <c r="J339" s="247">
        <f t="shared" si="79"/>
        <v>841.5</v>
      </c>
      <c r="K339" s="307"/>
      <c r="L339" s="410">
        <f>IF(OR(Калькуляция!$F339=3,),3,0)</f>
        <v>0</v>
      </c>
      <c r="M339" s="410">
        <f>IF(OR(Калькуляция!$F339=6,),6,0)</f>
        <v>0</v>
      </c>
      <c r="N339" s="410">
        <f>IF(OR(Калькуляция!$F339=9,),9,0)</f>
        <v>0</v>
      </c>
      <c r="O339" s="410">
        <f>IF(OR(Калькуляция!$F339=3,Калькуляция!$F339=6,Калькуляция!$F339=9,),369,0)</f>
        <v>0</v>
      </c>
      <c r="P339" s="390">
        <f t="shared" si="80"/>
        <v>0</v>
      </c>
      <c r="Q339" s="400">
        <f t="shared" si="81"/>
        <v>0</v>
      </c>
      <c r="R339" s="405"/>
      <c r="S339" s="405"/>
      <c r="T339" s="405"/>
      <c r="U339" s="405"/>
    </row>
    <row r="340" spans="1:21" s="402" customFormat="1" ht="12.75">
      <c r="A340" s="320">
        <f t="shared" si="76"/>
        <v>322</v>
      </c>
      <c r="B340" s="205" t="s">
        <v>234</v>
      </c>
      <c r="C340" s="206" t="s">
        <v>446</v>
      </c>
      <c r="D340" s="205" t="s">
        <v>27</v>
      </c>
      <c r="E340" s="207">
        <v>115.7</v>
      </c>
      <c r="F340" s="208">
        <v>10</v>
      </c>
      <c r="G340" s="209">
        <v>0</v>
      </c>
      <c r="H340" s="138">
        <f t="shared" si="77"/>
        <v>140.3713235294118</v>
      </c>
      <c r="I340" s="71">
        <f t="shared" si="78"/>
        <v>127.27000000000001</v>
      </c>
      <c r="J340" s="247">
        <f>PRODUCT(I340,1/$L$358,$L$357,1.02)</f>
        <v>9736.155000000002</v>
      </c>
      <c r="K340" s="307">
        <v>1</v>
      </c>
      <c r="L340" s="410">
        <f>IF(OR(Калькуляция!$F340=3,),3,0)</f>
        <v>0</v>
      </c>
      <c r="M340" s="410">
        <f>IF(OR(Калькуляция!$F340=6,),6,0)</f>
        <v>0</v>
      </c>
      <c r="N340" s="410">
        <f>IF(OR(Калькуляция!$F340=9,),9,0)</f>
        <v>0</v>
      </c>
      <c r="O340" s="410">
        <f>IF(OR(Калькуляция!$F340=3,Калькуляция!$F340=6,Калькуляция!$F340=9,),369,0)</f>
        <v>0</v>
      </c>
      <c r="P340" s="390">
        <f t="shared" si="80"/>
        <v>127.27000000000001</v>
      </c>
      <c r="Q340" s="400">
        <f t="shared" si="81"/>
        <v>9736.155000000002</v>
      </c>
      <c r="R340" s="405"/>
      <c r="S340" s="405"/>
      <c r="T340" s="405"/>
      <c r="U340" s="405"/>
    </row>
    <row r="341" spans="1:21" s="401" customFormat="1" ht="12.75">
      <c r="A341" s="320">
        <f t="shared" si="76"/>
        <v>323</v>
      </c>
      <c r="B341" s="391" t="s">
        <v>235</v>
      </c>
      <c r="C341" s="403"/>
      <c r="D341" s="391" t="s">
        <v>36</v>
      </c>
      <c r="E341" s="392">
        <v>10</v>
      </c>
      <c r="F341" s="393">
        <v>3</v>
      </c>
      <c r="G341" s="394">
        <v>0</v>
      </c>
      <c r="H341" s="138">
        <f t="shared" si="77"/>
        <v>9.705882352941178</v>
      </c>
      <c r="I341" s="71">
        <f t="shared" si="78"/>
        <v>8.8</v>
      </c>
      <c r="J341" s="439">
        <f t="shared" si="79"/>
        <v>673.2000000000002</v>
      </c>
      <c r="K341" s="307">
        <v>1</v>
      </c>
      <c r="L341" s="410">
        <f>IF(OR(Калькуляция!$F341=3,),3,0)</f>
        <v>3</v>
      </c>
      <c r="M341" s="410">
        <f>IF(OR(Калькуляция!$F341=6,),6,0)</f>
        <v>0</v>
      </c>
      <c r="N341" s="410">
        <f>IF(OR(Калькуляция!$F341=9,),9,0)</f>
        <v>0</v>
      </c>
      <c r="O341" s="410">
        <f>IF(OR(Калькуляция!$F341=3,Калькуляция!$F341=6,Калькуляция!$F341=9,),369,0)</f>
        <v>369</v>
      </c>
      <c r="P341" s="390">
        <f t="shared" si="80"/>
        <v>8.8</v>
      </c>
      <c r="Q341" s="400">
        <f t="shared" si="81"/>
        <v>673.2000000000002</v>
      </c>
      <c r="R341" s="399"/>
      <c r="S341" s="399"/>
      <c r="T341" s="399"/>
      <c r="U341" s="399"/>
    </row>
    <row r="342" spans="1:17" ht="30.75" customHeight="1">
      <c r="A342" s="464"/>
      <c r="B342" s="465"/>
      <c r="C342" s="465"/>
      <c r="D342" s="466"/>
      <c r="E342" s="467"/>
      <c r="F342" s="467"/>
      <c r="G342" s="467"/>
      <c r="H342" s="467"/>
      <c r="I342" s="467"/>
      <c r="J342" s="468"/>
      <c r="K342" s="346" t="str">
        <f>IF(Q342=0," ","Итого по разделу:")</f>
        <v>Итого по разделу:</v>
      </c>
      <c r="L342" s="410">
        <f>IF(OR(Калькуляция!$F342=3,),3,0)</f>
        <v>0</v>
      </c>
      <c r="M342" s="410">
        <f>IF(OR(Калькуляция!$F342=6,),6,0)</f>
        <v>0</v>
      </c>
      <c r="N342" s="410">
        <f>IF(OR(Калькуляция!$F342=9,),9,0)</f>
        <v>0</v>
      </c>
      <c r="O342" s="410">
        <f>IF(OR(Калькуляция!$F342=3,Калькуляция!$F342=6,Калькуляция!$F342=9,),369,0)</f>
        <v>0</v>
      </c>
      <c r="P342" s="311"/>
      <c r="Q342" s="310">
        <f>SUM(Q324:Q341)</f>
        <v>29545.065000000006</v>
      </c>
    </row>
    <row r="343" spans="1:17" s="29" customFormat="1" ht="18.75" customHeight="1">
      <c r="A343" s="469" t="s">
        <v>308</v>
      </c>
      <c r="B343" s="470"/>
      <c r="C343" s="470"/>
      <c r="D343" s="470"/>
      <c r="E343" s="470"/>
      <c r="F343" s="470"/>
      <c r="G343" s="470"/>
      <c r="H343" s="470"/>
      <c r="I343" s="470"/>
      <c r="J343" s="470"/>
      <c r="K343" s="344" t="str">
        <f>IF(Q353=0," ","(Разд.14)")</f>
        <v>(Разд.14)</v>
      </c>
      <c r="L343" s="410">
        <f>IF(OR(Калькуляция!$F343=3,),3,0)</f>
        <v>0</v>
      </c>
      <c r="M343" s="410">
        <f>IF(OR(Калькуляция!$F343=6,),6,0)</f>
        <v>0</v>
      </c>
      <c r="N343" s="410">
        <f>IF(OR(Калькуляция!$F343=9,),9,0)</f>
        <v>0</v>
      </c>
      <c r="O343" s="410">
        <f>IF(OR(Калькуляция!$F343=3,Калькуляция!$F343=6,Калькуляция!$F343=9,),369,0)</f>
        <v>0</v>
      </c>
      <c r="P343" s="308"/>
      <c r="Q343" s="369"/>
    </row>
    <row r="344" spans="1:17" s="250" customFormat="1" ht="12.75">
      <c r="A344" s="318">
        <f aca="true" t="shared" si="82" ref="A344:A352">ROW()-18</f>
        <v>326</v>
      </c>
      <c r="B344" s="242" t="s">
        <v>464</v>
      </c>
      <c r="C344" s="125"/>
      <c r="D344" s="243" t="s">
        <v>36</v>
      </c>
      <c r="E344" s="244">
        <v>75.3565</v>
      </c>
      <c r="F344" s="245">
        <v>0</v>
      </c>
      <c r="G344" s="246">
        <v>0</v>
      </c>
      <c r="H344" s="138">
        <f aca="true" t="shared" si="83" ref="H344:H352">I344/$L$358</f>
        <v>91.42516544117647</v>
      </c>
      <c r="I344" s="71">
        <f aca="true" t="shared" si="84" ref="I344:I352">$J$7*(E344+PRODUCT(G344,$L$358))*IF(OR(F344=1,F344=10),(100-$D$15)/100,IF(OR(F344=3,F344=6,F344=9),(100-$D$16)/100,IF(OR(F344=2,F344=4),(100-$D$17)/100,1)))</f>
        <v>82.89215</v>
      </c>
      <c r="J344" s="247">
        <f>PRODUCT(I344,1/$L$358,$L$357,1.02)*0.676</f>
        <v>4286.684645100001</v>
      </c>
      <c r="K344" s="307"/>
      <c r="L344" s="410">
        <f>IF(OR(Калькуляция!$F344=3,),3,0)</f>
        <v>0</v>
      </c>
      <c r="M344" s="410">
        <f>IF(OR(Калькуляция!$F344=6,),6,0)</f>
        <v>0</v>
      </c>
      <c r="N344" s="410">
        <f>IF(OR(Калькуляция!$F344=9,),9,0)</f>
        <v>0</v>
      </c>
      <c r="O344" s="410">
        <f>IF(OR(Калькуляция!$F344=3,Калькуляция!$F344=6,Калькуляция!$F344=9,),369,0)</f>
        <v>0</v>
      </c>
      <c r="P344" s="248">
        <f aca="true" t="shared" si="85" ref="P344:P352">I344*K344</f>
        <v>0</v>
      </c>
      <c r="Q344" s="249">
        <f aca="true" t="shared" si="86" ref="Q344:Q352">J344*K344</f>
        <v>0</v>
      </c>
    </row>
    <row r="345" spans="1:17" s="250" customFormat="1" ht="12.75">
      <c r="A345" s="335">
        <f t="shared" si="82"/>
        <v>327</v>
      </c>
      <c r="B345" s="434" t="s">
        <v>342</v>
      </c>
      <c r="C345" s="435"/>
      <c r="D345" s="57" t="s">
        <v>36</v>
      </c>
      <c r="E345" s="436">
        <v>30</v>
      </c>
      <c r="F345" s="437">
        <v>9</v>
      </c>
      <c r="G345" s="438">
        <v>0</v>
      </c>
      <c r="H345" s="138">
        <f t="shared" si="83"/>
        <v>29.117647058823533</v>
      </c>
      <c r="I345" s="71">
        <f t="shared" si="84"/>
        <v>26.400000000000002</v>
      </c>
      <c r="J345" s="247">
        <f aca="true" t="shared" si="87" ref="J345:J351">PRODUCT(I345,1/$L$358,$L$357,1.02)</f>
        <v>2019.6000000000004</v>
      </c>
      <c r="K345" s="307"/>
      <c r="L345" s="410">
        <f>IF(OR(Калькуляция!$F345=3,),3,0)</f>
        <v>0</v>
      </c>
      <c r="M345" s="410">
        <f>IF(OR(Калькуляция!$F345=6,),6,0)</f>
        <v>0</v>
      </c>
      <c r="N345" s="410">
        <f>IF(OR(Калькуляция!$F345=9,),9,0)</f>
        <v>9</v>
      </c>
      <c r="O345" s="410">
        <f>IF(OR(Калькуляция!$F345=3,Калькуляция!$F345=6,Калькуляция!$F345=9,),369,0)</f>
        <v>369</v>
      </c>
      <c r="P345" s="139">
        <f t="shared" si="85"/>
        <v>0</v>
      </c>
      <c r="Q345" s="249">
        <f t="shared" si="86"/>
        <v>0</v>
      </c>
    </row>
    <row r="346" spans="1:17" ht="12.75">
      <c r="A346" s="319">
        <f t="shared" si="82"/>
        <v>328</v>
      </c>
      <c r="B346" s="53" t="s">
        <v>133</v>
      </c>
      <c r="C346" s="132"/>
      <c r="D346" s="133"/>
      <c r="E346" s="126">
        <v>60</v>
      </c>
      <c r="F346" s="127">
        <v>3</v>
      </c>
      <c r="G346" s="128">
        <v>0</v>
      </c>
      <c r="H346" s="138">
        <f t="shared" si="83"/>
        <v>58.235294117647065</v>
      </c>
      <c r="I346" s="71">
        <f t="shared" si="84"/>
        <v>52.800000000000004</v>
      </c>
      <c r="J346" s="62">
        <f t="shared" si="87"/>
        <v>4039.2000000000007</v>
      </c>
      <c r="K346" s="307"/>
      <c r="L346" s="410">
        <f>IF(OR(Калькуляция!$F346=3,),3,0)</f>
        <v>3</v>
      </c>
      <c r="M346" s="410">
        <f>IF(OR(Калькуляция!$F346=6,),6,0)</f>
        <v>0</v>
      </c>
      <c r="N346" s="410">
        <f>IF(OR(Калькуляция!$F346=9,),9,0)</f>
        <v>0</v>
      </c>
      <c r="O346" s="410">
        <f>IF(OR(Калькуляция!$F346=3,Калькуляция!$F346=6,Калькуляция!$F346=9,),369,0)</f>
        <v>369</v>
      </c>
      <c r="P346" s="80">
        <f t="shared" si="85"/>
        <v>0</v>
      </c>
      <c r="Q346" s="68">
        <f t="shared" si="86"/>
        <v>0</v>
      </c>
    </row>
    <row r="347" spans="1:17" s="250" customFormat="1" ht="12.75">
      <c r="A347" s="318">
        <f t="shared" si="82"/>
        <v>329</v>
      </c>
      <c r="B347" s="242" t="s">
        <v>243</v>
      </c>
      <c r="C347" s="125"/>
      <c r="D347" s="243" t="s">
        <v>36</v>
      </c>
      <c r="E347" s="244">
        <v>15</v>
      </c>
      <c r="F347" s="245">
        <v>3</v>
      </c>
      <c r="G347" s="246">
        <v>0</v>
      </c>
      <c r="H347" s="138">
        <f t="shared" si="83"/>
        <v>14.558823529411766</v>
      </c>
      <c r="I347" s="71">
        <f t="shared" si="84"/>
        <v>13.200000000000001</v>
      </c>
      <c r="J347" s="247">
        <f>PRODUCT(I347,1/$L$358,$L$357,1.02)*2</f>
        <v>2019.6000000000004</v>
      </c>
      <c r="K347" s="307"/>
      <c r="L347" s="410">
        <f>IF(OR(Калькуляция!$F347=3,),3,0)</f>
        <v>3</v>
      </c>
      <c r="M347" s="410">
        <f>IF(OR(Калькуляция!$F347=6,),6,0)</f>
        <v>0</v>
      </c>
      <c r="N347" s="410">
        <f>IF(OR(Калькуляция!$F347=9,),9,0)</f>
        <v>0</v>
      </c>
      <c r="O347" s="410">
        <f>IF(OR(Калькуляция!$F347=3,Калькуляция!$F347=6,Калькуляция!$F347=9,),369,0)</f>
        <v>369</v>
      </c>
      <c r="P347" s="248">
        <f t="shared" si="85"/>
        <v>0</v>
      </c>
      <c r="Q347" s="249">
        <f t="shared" si="86"/>
        <v>0</v>
      </c>
    </row>
    <row r="348" spans="1:17" ht="12.75">
      <c r="A348" s="319">
        <f t="shared" si="82"/>
        <v>330</v>
      </c>
      <c r="B348" s="53" t="s">
        <v>466</v>
      </c>
      <c r="C348" s="125"/>
      <c r="D348" s="54" t="s">
        <v>30</v>
      </c>
      <c r="E348" s="126">
        <v>1</v>
      </c>
      <c r="F348" s="127">
        <v>2</v>
      </c>
      <c r="G348" s="128">
        <v>0</v>
      </c>
      <c r="H348" s="138">
        <f t="shared" si="83"/>
        <v>1.2132352941176472</v>
      </c>
      <c r="I348" s="71">
        <f t="shared" si="84"/>
        <v>1.1</v>
      </c>
      <c r="J348" s="62">
        <f t="shared" si="87"/>
        <v>84.15000000000002</v>
      </c>
      <c r="K348" s="307"/>
      <c r="L348" s="410">
        <f>IF(OR(Калькуляция!$F348=3,),3,0)</f>
        <v>0</v>
      </c>
      <c r="M348" s="410">
        <f>IF(OR(Калькуляция!$F348=6,),6,0)</f>
        <v>0</v>
      </c>
      <c r="N348" s="410">
        <f>IF(OR(Калькуляция!$F348=9,),9,0)</f>
        <v>0</v>
      </c>
      <c r="O348" s="410">
        <f>IF(OR(Калькуляция!$F348=3,Калькуляция!$F348=6,Калькуляция!$F348=9,),369,0)</f>
        <v>0</v>
      </c>
      <c r="P348" s="80">
        <f t="shared" si="85"/>
        <v>0</v>
      </c>
      <c r="Q348" s="68">
        <f t="shared" si="86"/>
        <v>0</v>
      </c>
    </row>
    <row r="349" spans="1:17" s="250" customFormat="1" ht="12.75">
      <c r="A349" s="318">
        <f t="shared" si="82"/>
        <v>331</v>
      </c>
      <c r="B349" s="242" t="s">
        <v>465</v>
      </c>
      <c r="C349" s="125"/>
      <c r="D349" s="243" t="s">
        <v>36</v>
      </c>
      <c r="E349" s="244">
        <v>3</v>
      </c>
      <c r="F349" s="245">
        <v>3</v>
      </c>
      <c r="G349" s="246">
        <v>0</v>
      </c>
      <c r="H349" s="138">
        <f t="shared" si="83"/>
        <v>2.9117647058823537</v>
      </c>
      <c r="I349" s="71">
        <f t="shared" si="84"/>
        <v>2.6400000000000006</v>
      </c>
      <c r="J349" s="247">
        <f>PRODUCT(I349,1/$L$358,$L$357,1.02)*8</f>
        <v>1615.6800000000005</v>
      </c>
      <c r="K349" s="307"/>
      <c r="L349" s="410">
        <f>IF(OR(Калькуляция!$F349=3,),3,0)</f>
        <v>3</v>
      </c>
      <c r="M349" s="410">
        <f>IF(OR(Калькуляция!$F349=6,),6,0)</f>
        <v>0</v>
      </c>
      <c r="N349" s="410">
        <f>IF(OR(Калькуляция!$F349=9,),9,0)</f>
        <v>0</v>
      </c>
      <c r="O349" s="410">
        <f>IF(OR(Калькуляция!$F349=3,Калькуляция!$F349=6,Калькуляция!$F349=9,),369,0)</f>
        <v>369</v>
      </c>
      <c r="P349" s="248">
        <f t="shared" si="85"/>
        <v>0</v>
      </c>
      <c r="Q349" s="249">
        <f t="shared" si="86"/>
        <v>0</v>
      </c>
    </row>
    <row r="350" spans="1:17" ht="12.75">
      <c r="A350" s="319">
        <f t="shared" si="82"/>
        <v>332</v>
      </c>
      <c r="B350" s="53" t="s">
        <v>166</v>
      </c>
      <c r="C350" s="125" t="s">
        <v>190</v>
      </c>
      <c r="D350" s="54" t="s">
        <v>30</v>
      </c>
      <c r="E350" s="126">
        <v>30</v>
      </c>
      <c r="F350" s="127">
        <v>2</v>
      </c>
      <c r="G350" s="128">
        <v>0</v>
      </c>
      <c r="H350" s="138">
        <f t="shared" si="83"/>
        <v>36.39705882352941</v>
      </c>
      <c r="I350" s="71">
        <f t="shared" si="84"/>
        <v>33</v>
      </c>
      <c r="J350" s="62">
        <f t="shared" si="87"/>
        <v>2524.5</v>
      </c>
      <c r="K350" s="307"/>
      <c r="L350" s="410">
        <f>IF(OR(Калькуляция!$F350=3,),3,0)</f>
        <v>0</v>
      </c>
      <c r="M350" s="410">
        <f>IF(OR(Калькуляция!$F350=6,),6,0)</f>
        <v>0</v>
      </c>
      <c r="N350" s="410">
        <f>IF(OR(Калькуляция!$F350=9,),9,0)</f>
        <v>0</v>
      </c>
      <c r="O350" s="410">
        <f>IF(OR(Калькуляция!$F350=3,Калькуляция!$F350=6,Калькуляция!$F350=9,),369,0)</f>
        <v>0</v>
      </c>
      <c r="P350" s="80">
        <f t="shared" si="85"/>
        <v>0</v>
      </c>
      <c r="Q350" s="68">
        <f t="shared" si="86"/>
        <v>0</v>
      </c>
    </row>
    <row r="351" spans="1:17" ht="12.75">
      <c r="A351" s="319">
        <f t="shared" si="82"/>
        <v>333</v>
      </c>
      <c r="B351" s="53" t="s">
        <v>191</v>
      </c>
      <c r="C351" s="125"/>
      <c r="D351" s="54" t="s">
        <v>36</v>
      </c>
      <c r="E351" s="126">
        <v>20</v>
      </c>
      <c r="F351" s="127">
        <v>3</v>
      </c>
      <c r="G351" s="128">
        <v>0</v>
      </c>
      <c r="H351" s="138">
        <f t="shared" si="83"/>
        <v>19.411764705882355</v>
      </c>
      <c r="I351" s="71">
        <f t="shared" si="84"/>
        <v>17.6</v>
      </c>
      <c r="J351" s="62">
        <f t="shared" si="87"/>
        <v>1346.4000000000003</v>
      </c>
      <c r="K351" s="307"/>
      <c r="L351" s="410">
        <f>IF(OR(Калькуляция!$F351=3,),3,0)</f>
        <v>3</v>
      </c>
      <c r="M351" s="410">
        <f>IF(OR(Калькуляция!$F351=6,),6,0)</f>
        <v>0</v>
      </c>
      <c r="N351" s="410">
        <f>IF(OR(Калькуляция!$F351=9,),9,0)</f>
        <v>0</v>
      </c>
      <c r="O351" s="410">
        <f>IF(OR(Калькуляция!$F351=3,Калькуляция!$F351=6,Калькуляция!$F351=9,),369,0)</f>
        <v>369</v>
      </c>
      <c r="P351" s="80">
        <f t="shared" si="85"/>
        <v>0</v>
      </c>
      <c r="Q351" s="68">
        <f t="shared" si="86"/>
        <v>0</v>
      </c>
    </row>
    <row r="352" spans="1:17" ht="12.75">
      <c r="A352" s="319">
        <f t="shared" si="82"/>
        <v>334</v>
      </c>
      <c r="B352" s="53" t="s">
        <v>461</v>
      </c>
      <c r="C352" s="459">
        <v>3</v>
      </c>
      <c r="D352" s="53" t="s">
        <v>462</v>
      </c>
      <c r="E352" s="126">
        <v>0.5</v>
      </c>
      <c r="F352" s="127">
        <v>5</v>
      </c>
      <c r="G352" s="128">
        <v>0</v>
      </c>
      <c r="H352" s="138">
        <f t="shared" si="83"/>
        <v>0.6066176470588236</v>
      </c>
      <c r="I352" s="71">
        <f t="shared" si="84"/>
        <v>0.55</v>
      </c>
      <c r="J352" s="347">
        <f>PRODUCT(I352,1/$L$358,$L$357,1.02)*C352</f>
        <v>126.22500000000002</v>
      </c>
      <c r="K352" s="307">
        <v>20</v>
      </c>
      <c r="L352" s="410">
        <f>IF(OR(Калькуляция!$F352=3,),3,0)</f>
        <v>0</v>
      </c>
      <c r="M352" s="410">
        <f>IF(OR(Калькуляция!$F352=6,),6,0)</f>
        <v>0</v>
      </c>
      <c r="N352" s="410">
        <f>IF(OR(Калькуляция!$F352=9,),9,0)</f>
        <v>0</v>
      </c>
      <c r="O352" s="410">
        <f>IF(OR(Калькуляция!$F352=3,Калькуляция!$F352=6,Калькуляция!$F352=9,),369,0)</f>
        <v>0</v>
      </c>
      <c r="P352" s="80">
        <f t="shared" si="85"/>
        <v>11</v>
      </c>
      <c r="Q352" s="68">
        <f t="shared" si="86"/>
        <v>2524.5000000000005</v>
      </c>
    </row>
    <row r="353" spans="1:17" ht="24" customHeight="1">
      <c r="A353" s="464"/>
      <c r="B353" s="465"/>
      <c r="C353" s="465"/>
      <c r="D353" s="466"/>
      <c r="E353" s="467"/>
      <c r="F353" s="467"/>
      <c r="G353" s="467"/>
      <c r="H353" s="467"/>
      <c r="I353" s="467"/>
      <c r="J353" s="468"/>
      <c r="K353" s="346" t="str">
        <f>IF(Q353=0," ","Итого по разделу:")</f>
        <v>Итого по разделу:</v>
      </c>
      <c r="P353" s="311"/>
      <c r="Q353" s="310">
        <f>SUM(Q344:Q352)</f>
        <v>2524.5000000000005</v>
      </c>
    </row>
    <row r="354" spans="1:17" ht="13.5" thickBot="1">
      <c r="A354" s="338" t="s">
        <v>167</v>
      </c>
      <c r="B354" s="158" t="s">
        <v>168</v>
      </c>
      <c r="C354" s="159" t="s">
        <v>167</v>
      </c>
      <c r="D354" s="159" t="s">
        <v>167</v>
      </c>
      <c r="E354" s="159" t="s">
        <v>167</v>
      </c>
      <c r="F354" s="159" t="s">
        <v>167</v>
      </c>
      <c r="G354" s="159" t="s">
        <v>167</v>
      </c>
      <c r="H354" s="159" t="s">
        <v>167</v>
      </c>
      <c r="I354" s="159" t="s">
        <v>167</v>
      </c>
      <c r="J354" s="160" t="s">
        <v>167</v>
      </c>
      <c r="K354" s="159" t="s">
        <v>169</v>
      </c>
      <c r="P354" s="159" t="s">
        <v>167</v>
      </c>
      <c r="Q354" s="159" t="s">
        <v>167</v>
      </c>
    </row>
    <row r="355" spans="1:17" ht="13.5" thickTop="1">
      <c r="A355" s="339"/>
      <c r="B355" s="293" t="s">
        <v>297</v>
      </c>
      <c r="C355" s="132"/>
      <c r="D355" s="53"/>
      <c r="E355" s="126"/>
      <c r="F355" s="127"/>
      <c r="G355" s="128"/>
      <c r="H355" s="161"/>
      <c r="I355" s="295" t="s">
        <v>170</v>
      </c>
      <c r="J355" s="295" t="s">
        <v>171</v>
      </c>
      <c r="K355" s="295" t="s">
        <v>170</v>
      </c>
      <c r="P355" s="295"/>
      <c r="Q355" s="295"/>
    </row>
    <row r="356" spans="1:17" ht="12.75">
      <c r="A356" s="162"/>
      <c r="B356" s="294" t="s">
        <v>296</v>
      </c>
      <c r="C356" s="132"/>
      <c r="D356" s="53"/>
      <c r="E356" s="126"/>
      <c r="F356" s="127"/>
      <c r="G356" s="128"/>
      <c r="H356" s="161"/>
      <c r="I356" s="163">
        <f>SUM(P21:P352)</f>
        <v>3999.5340000000015</v>
      </c>
      <c r="J356" s="164" t="s">
        <v>171</v>
      </c>
      <c r="K356" s="165" t="s">
        <v>171</v>
      </c>
      <c r="P356" s="166">
        <f>SUM(P21:P352)</f>
        <v>3999.5340000000015</v>
      </c>
      <c r="Q356" s="264">
        <f>SUMIF(K20:K354,"Итого по разделу:",Q20:Q354)</f>
        <v>301845.46329600003</v>
      </c>
    </row>
    <row r="357" spans="1:17" ht="24" customHeight="1">
      <c r="A357" s="167"/>
      <c r="B357" s="483" t="s">
        <v>386</v>
      </c>
      <c r="C357" s="483"/>
      <c r="D357" s="53"/>
      <c r="E357" s="126"/>
      <c r="F357" s="127"/>
      <c r="G357" s="128"/>
      <c r="H357" s="161"/>
      <c r="I357" s="168"/>
      <c r="J357" s="164" t="s">
        <v>171</v>
      </c>
      <c r="K357" s="165" t="s">
        <v>171</v>
      </c>
      <c r="L357" s="201">
        <f>$J$1</f>
        <v>68</v>
      </c>
      <c r="M357" s="409" t="s">
        <v>172</v>
      </c>
      <c r="N357" s="409"/>
      <c r="O357" s="409"/>
      <c r="P357" s="168"/>
      <c r="Q357" s="167"/>
    </row>
    <row r="358" spans="1:16" ht="12.75">
      <c r="A358" s="167"/>
      <c r="B358" s="167"/>
      <c r="C358" s="53" t="s">
        <v>173</v>
      </c>
      <c r="D358" s="284"/>
      <c r="E358" s="277"/>
      <c r="F358" s="278"/>
      <c r="G358" s="279"/>
      <c r="H358" s="280"/>
      <c r="I358" s="281">
        <f>SUM(I359:I366)-I356</f>
        <v>0</v>
      </c>
      <c r="J358" s="283" t="s">
        <v>171</v>
      </c>
      <c r="K358" s="282" t="s">
        <v>245</v>
      </c>
      <c r="L358" s="202">
        <f>$J$1/$J$2</f>
        <v>0.9066666666666666</v>
      </c>
      <c r="M358" s="409" t="s">
        <v>172</v>
      </c>
      <c r="N358" s="409"/>
      <c r="O358" s="409"/>
      <c r="P358" s="268"/>
    </row>
    <row r="359" spans="1:17" ht="12.75">
      <c r="A359" s="162"/>
      <c r="B359" s="53"/>
      <c r="C359" s="53" t="s">
        <v>174</v>
      </c>
      <c r="D359" s="169"/>
      <c r="E359" s="168"/>
      <c r="F359" s="127"/>
      <c r="G359" s="128"/>
      <c r="H359" s="161"/>
      <c r="I359" s="170">
        <f>SUMIF($F$21:$F$352,"=1",P$21:P$352)+SUMIF($F$21:$F$352,"=10",P$21:P$352)</f>
        <v>3090.332666666667</v>
      </c>
      <c r="J359" s="171">
        <f>SUMIF($F$21:$F$352,"=1",Q$21:Q$352)+SUMIF($F$21:$F$352,"=10",Q$21:Q$352)</f>
        <v>233765.30829600003</v>
      </c>
      <c r="K359" s="276">
        <f aca="true" t="shared" si="88" ref="K359:K366">$D$358</f>
        <v>0</v>
      </c>
      <c r="P359" s="167"/>
      <c r="Q359" s="172">
        <f aca="true" t="shared" si="89" ref="Q359:Q366">J359*(100%-K359)</f>
        <v>233765.30829600003</v>
      </c>
    </row>
    <row r="360" spans="1:17" ht="12.75">
      <c r="A360" s="162"/>
      <c r="B360" s="53"/>
      <c r="C360" s="53" t="s">
        <v>175</v>
      </c>
      <c r="D360" s="169"/>
      <c r="E360" s="168"/>
      <c r="F360" s="127"/>
      <c r="G360" s="128"/>
      <c r="H360" s="161"/>
      <c r="I360" s="170">
        <f>SUMIF($F$21:$F$352,"=3",P$21:P$352)</f>
        <v>213.40000000000003</v>
      </c>
      <c r="J360" s="171">
        <f>SUMIF($F$21:$F$352,"=3",Q$21:Q$352)</f>
        <v>16325.100000000004</v>
      </c>
      <c r="K360" s="276">
        <f t="shared" si="88"/>
        <v>0</v>
      </c>
      <c r="P360" s="167"/>
      <c r="Q360" s="172">
        <f t="shared" si="89"/>
        <v>16325.100000000004</v>
      </c>
    </row>
    <row r="361" spans="1:17" ht="12.75">
      <c r="A361" s="162"/>
      <c r="B361" s="53"/>
      <c r="C361" s="53" t="s">
        <v>426</v>
      </c>
      <c r="D361" s="169"/>
      <c r="E361" s="168"/>
      <c r="F361" s="127"/>
      <c r="G361" s="128"/>
      <c r="H361" s="161"/>
      <c r="I361" s="170">
        <f>SUMIF($F$21:$F$352,"=9",P$21:P$352)</f>
        <v>57.20000000000001</v>
      </c>
      <c r="J361" s="171">
        <f>SUMIF($F$21:$F$352,"=9",Q$21:Q$352)</f>
        <v>4375.800000000001</v>
      </c>
      <c r="K361" s="276">
        <f t="shared" si="88"/>
        <v>0</v>
      </c>
      <c r="P361" s="167"/>
      <c r="Q361" s="172">
        <f t="shared" si="89"/>
        <v>4375.800000000001</v>
      </c>
    </row>
    <row r="362" spans="1:17" ht="12.75">
      <c r="A362" s="162"/>
      <c r="B362" s="53"/>
      <c r="C362" s="53" t="s">
        <v>398</v>
      </c>
      <c r="D362" s="169"/>
      <c r="E362" s="168"/>
      <c r="F362" s="127"/>
      <c r="G362" s="128"/>
      <c r="H362" s="161"/>
      <c r="I362" s="170">
        <f>SUMIF($F$21:$F$352,"=6",P$21:P$352)</f>
        <v>189.20000000000002</v>
      </c>
      <c r="J362" s="171">
        <f>SUMIF($F$21:$F$352,"=6",Q$21:Q$352)</f>
        <v>14473.800000000003</v>
      </c>
      <c r="K362" s="276">
        <f t="shared" si="88"/>
        <v>0</v>
      </c>
      <c r="P362" s="167"/>
      <c r="Q362" s="172">
        <f t="shared" si="89"/>
        <v>14473.800000000003</v>
      </c>
    </row>
    <row r="363" spans="1:17" ht="12.75">
      <c r="A363" s="162"/>
      <c r="B363" s="53"/>
      <c r="C363" s="53" t="s">
        <v>176</v>
      </c>
      <c r="D363" s="169"/>
      <c r="E363" s="168"/>
      <c r="F363" s="127"/>
      <c r="G363" s="128"/>
      <c r="H363" s="161"/>
      <c r="I363" s="170">
        <f>SUMIF($F$21:$F$352,"=2",P$21:P$352)</f>
        <v>308</v>
      </c>
      <c r="J363" s="171">
        <f>SUMIF($F$21:$F$352,"=2",Q$21:Q$352)</f>
        <v>23562</v>
      </c>
      <c r="K363" s="276">
        <f t="shared" si="88"/>
        <v>0</v>
      </c>
      <c r="P363" s="167"/>
      <c r="Q363" s="172">
        <f t="shared" si="89"/>
        <v>23562</v>
      </c>
    </row>
    <row r="364" spans="1:17" ht="12.75">
      <c r="A364" s="162"/>
      <c r="B364" s="53"/>
      <c r="C364" s="53" t="s">
        <v>177</v>
      </c>
      <c r="D364" s="169"/>
      <c r="E364" s="168"/>
      <c r="F364" s="127"/>
      <c r="G364" s="128"/>
      <c r="H364" s="161"/>
      <c r="I364" s="170">
        <f>SUMIF($F$21:$F$352,"=4",P$21:P$352)</f>
        <v>130.40133333333335</v>
      </c>
      <c r="J364" s="171">
        <f>SUMIF($F$21:$F$352,"=4",Q$21:Q$352)</f>
        <v>6818.955</v>
      </c>
      <c r="K364" s="276">
        <f t="shared" si="88"/>
        <v>0</v>
      </c>
      <c r="P364" s="167"/>
      <c r="Q364" s="172">
        <f t="shared" si="89"/>
        <v>6818.955</v>
      </c>
    </row>
    <row r="365" spans="1:17" ht="12.75">
      <c r="A365" s="53" t="s">
        <v>199</v>
      </c>
      <c r="B365" s="167"/>
      <c r="C365" s="53" t="s">
        <v>178</v>
      </c>
      <c r="D365" s="53"/>
      <c r="E365" s="126"/>
      <c r="F365" s="127"/>
      <c r="G365" s="128"/>
      <c r="H365" s="161"/>
      <c r="I365" s="170">
        <f>SUMIF($F$21:$F$352,"=5",P$21:P$352)</f>
        <v>11</v>
      </c>
      <c r="J365" s="171">
        <f>SUMIF($F$21:$F$352,"=5",Q$21:Q$352)</f>
        <v>2524.5000000000005</v>
      </c>
      <c r="K365" s="276">
        <f t="shared" si="88"/>
        <v>0</v>
      </c>
      <c r="P365" s="167"/>
      <c r="Q365" s="172">
        <f t="shared" si="89"/>
        <v>2524.5000000000005</v>
      </c>
    </row>
    <row r="366" spans="2:17" ht="12.75">
      <c r="B366" s="286"/>
      <c r="C366" s="53" t="s">
        <v>380</v>
      </c>
      <c r="D366" s="53"/>
      <c r="E366" s="126"/>
      <c r="F366" s="127"/>
      <c r="G366" s="128"/>
      <c r="H366" s="161"/>
      <c r="I366" s="170">
        <f>SUMIF($F$21:$F$352,"=0",P$21:P$352)</f>
        <v>0</v>
      </c>
      <c r="J366" s="171">
        <f>SUMIF($F$21:$F$352,"=0",Q$21:Q$352)</f>
        <v>0</v>
      </c>
      <c r="K366" s="276">
        <f t="shared" si="88"/>
        <v>0</v>
      </c>
      <c r="P366" s="167"/>
      <c r="Q366" s="172">
        <f t="shared" si="89"/>
        <v>0</v>
      </c>
    </row>
    <row r="367" spans="2:17" ht="12.75">
      <c r="B367" s="286" t="e">
        <f>[1]!Руб(B368/1,B368)</f>
        <v>#NAME?</v>
      </c>
      <c r="C367" s="53"/>
      <c r="D367" s="287"/>
      <c r="E367" s="126"/>
      <c r="F367" s="127"/>
      <c r="G367" s="128"/>
      <c r="H367" s="161"/>
      <c r="I367" s="170"/>
      <c r="J367" s="171" t="s">
        <v>171</v>
      </c>
      <c r="K367" s="265" t="s">
        <v>189</v>
      </c>
      <c r="P367" s="167"/>
      <c r="Q367" s="267">
        <f>SUM(Q359:Q366)</f>
        <v>301845.46329600003</v>
      </c>
    </row>
    <row r="368" spans="1:16" ht="12.75">
      <c r="A368" s="173" t="s">
        <v>170</v>
      </c>
      <c r="B368" s="174" t="str">
        <f>DOLLAR(Q367,2)</f>
        <v>301 845,46 $</v>
      </c>
      <c r="D368" s="53"/>
      <c r="E368" s="126"/>
      <c r="F368" s="127"/>
      <c r="G368" s="128"/>
      <c r="H368" s="161"/>
      <c r="I368" s="168"/>
      <c r="J368" s="164" t="s">
        <v>171</v>
      </c>
      <c r="K368" s="5" t="s">
        <v>171</v>
      </c>
      <c r="P368" s="266"/>
    </row>
    <row r="369" spans="1:11" ht="12.75">
      <c r="A369" s="173" t="s">
        <v>179</v>
      </c>
      <c r="B369" s="175"/>
      <c r="C369" s="132"/>
      <c r="D369" s="53"/>
      <c r="E369" s="126"/>
      <c r="F369" s="127"/>
      <c r="G369" s="128"/>
      <c r="H369" s="161"/>
      <c r="I369" s="168"/>
      <c r="J369" s="164" t="s">
        <v>171</v>
      </c>
      <c r="K369" s="5" t="s">
        <v>171</v>
      </c>
    </row>
    <row r="370" spans="1:17" ht="12.75">
      <c r="A370" s="173" t="s">
        <v>179</v>
      </c>
      <c r="B370" s="175"/>
      <c r="C370" s="132"/>
      <c r="D370" s="53"/>
      <c r="E370" s="126"/>
      <c r="F370" s="127"/>
      <c r="G370" s="128"/>
      <c r="H370" s="161"/>
      <c r="I370" s="168"/>
      <c r="J370" s="269" t="s">
        <v>427</v>
      </c>
      <c r="K370" s="5" t="s">
        <v>428</v>
      </c>
      <c r="L370" s="1"/>
      <c r="M370" s="1"/>
      <c r="N370" s="1"/>
      <c r="O370" s="1"/>
      <c r="P370" s="270"/>
      <c r="Q370" s="271">
        <f>Q359+Q360/2+Q361/2+Q363+Q365</f>
        <v>270202.258296</v>
      </c>
    </row>
    <row r="371" spans="1:11" ht="12.75">
      <c r="A371" s="173" t="s">
        <v>179</v>
      </c>
      <c r="B371" s="175"/>
      <c r="C371" s="132"/>
      <c r="D371" s="53"/>
      <c r="E371" s="126"/>
      <c r="F371" s="127"/>
      <c r="G371" s="128"/>
      <c r="H371" s="161"/>
      <c r="I371" s="168"/>
      <c r="J371" s="164" t="s">
        <v>171</v>
      </c>
      <c r="K371" s="5" t="s">
        <v>171</v>
      </c>
    </row>
    <row r="372" spans="1:17" ht="12.75">
      <c r="A372" s="132" t="s">
        <v>180</v>
      </c>
      <c r="B372" s="176">
        <f>B368-SUM(B369:B371)</f>
        <v>301845.46</v>
      </c>
      <c r="C372" s="126"/>
      <c r="D372" s="161"/>
      <c r="E372" s="128"/>
      <c r="F372" s="127"/>
      <c r="G372" s="168"/>
      <c r="H372" s="169"/>
      <c r="I372" s="177">
        <f>I356/L358</f>
        <v>4411.250735294119</v>
      </c>
      <c r="J372" s="178" t="s">
        <v>171</v>
      </c>
      <c r="K372" s="179" t="s">
        <v>171</v>
      </c>
      <c r="P372" s="167"/>
      <c r="Q372" s="167"/>
    </row>
    <row r="373" spans="2:18" ht="12.75">
      <c r="B373" s="314" t="s">
        <v>313</v>
      </c>
      <c r="C373" s="35"/>
      <c r="D373" s="35"/>
      <c r="J373" s="4" t="s">
        <v>171</v>
      </c>
      <c r="K373" s="5" t="s">
        <v>171</v>
      </c>
      <c r="Q373" s="452" t="s">
        <v>457</v>
      </c>
      <c r="R373" s="453"/>
    </row>
    <row r="374" spans="1:18" ht="12" customHeight="1">
      <c r="A374" s="492" t="s">
        <v>246</v>
      </c>
      <c r="B374" s="492"/>
      <c r="C374" s="492"/>
      <c r="D374" s="492"/>
      <c r="E374" s="492"/>
      <c r="F374" s="492"/>
      <c r="G374" s="492"/>
      <c r="H374" s="492"/>
      <c r="I374" s="492"/>
      <c r="J374" s="33" t="s">
        <v>171</v>
      </c>
      <c r="K374" s="5" t="s">
        <v>171</v>
      </c>
      <c r="P374" s="34"/>
      <c r="Q374" s="454">
        <f>Q359+Q363</f>
        <v>257327.30829600003</v>
      </c>
      <c r="R374" s="453" t="s">
        <v>458</v>
      </c>
    </row>
    <row r="375" spans="1:18" ht="13.5" customHeight="1">
      <c r="A375" s="492"/>
      <c r="B375" s="492"/>
      <c r="C375" s="492"/>
      <c r="D375" s="492"/>
      <c r="E375" s="492"/>
      <c r="F375" s="492"/>
      <c r="G375" s="492"/>
      <c r="H375" s="492"/>
      <c r="I375" s="492"/>
      <c r="J375" s="33" t="s">
        <v>171</v>
      </c>
      <c r="K375" s="5" t="s">
        <v>171</v>
      </c>
      <c r="P375" s="34"/>
      <c r="Q375" s="454">
        <f>Q360+Q361+Q362+Q365+Q366</f>
        <v>37699.20000000001</v>
      </c>
      <c r="R375" s="453" t="s">
        <v>459</v>
      </c>
    </row>
    <row r="376" spans="1:18" ht="12" customHeight="1">
      <c r="A376" s="471" t="s">
        <v>240</v>
      </c>
      <c r="B376" s="471"/>
      <c r="C376" s="471"/>
      <c r="D376" s="471"/>
      <c r="E376" s="313"/>
      <c r="F376" s="313"/>
      <c r="G376" s="313"/>
      <c r="H376" s="313"/>
      <c r="I376" s="313"/>
      <c r="J376" s="315" t="s">
        <v>171</v>
      </c>
      <c r="K376" s="5" t="s">
        <v>171</v>
      </c>
      <c r="P376" s="34"/>
      <c r="Q376" s="455">
        <f>Q375/Q374</f>
        <v>0.14650291199034013</v>
      </c>
      <c r="R376" s="453" t="s">
        <v>460</v>
      </c>
    </row>
    <row r="377" spans="1:16" ht="30" customHeight="1">
      <c r="A377" s="471"/>
      <c r="B377" s="471"/>
      <c r="C377" s="471"/>
      <c r="D377" s="471"/>
      <c r="E377" s="313"/>
      <c r="F377" s="313"/>
      <c r="G377" s="313"/>
      <c r="H377" s="313"/>
      <c r="I377" s="313"/>
      <c r="J377" s="315" t="s">
        <v>171</v>
      </c>
      <c r="K377" s="5" t="s">
        <v>171</v>
      </c>
      <c r="P377" s="34"/>
    </row>
    <row r="378" spans="1:16" ht="12" customHeight="1">
      <c r="A378" s="471" t="s">
        <v>181</v>
      </c>
      <c r="B378" s="471"/>
      <c r="C378" s="471"/>
      <c r="D378" s="471"/>
      <c r="E378" s="313"/>
      <c r="F378" s="313"/>
      <c r="G378" s="313"/>
      <c r="H378" s="313"/>
      <c r="I378" s="313"/>
      <c r="J378" s="315" t="s">
        <v>171</v>
      </c>
      <c r="K378" s="5" t="s">
        <v>171</v>
      </c>
      <c r="P378" s="34"/>
    </row>
    <row r="379" spans="1:16" ht="12.75">
      <c r="A379" s="471"/>
      <c r="B379" s="471"/>
      <c r="C379" s="471"/>
      <c r="D379" s="471"/>
      <c r="E379" s="313"/>
      <c r="F379" s="313"/>
      <c r="G379" s="313"/>
      <c r="H379" s="313"/>
      <c r="I379" s="313"/>
      <c r="J379" s="315" t="s">
        <v>171</v>
      </c>
      <c r="K379" s="5" t="s">
        <v>171</v>
      </c>
      <c r="P379" s="34"/>
    </row>
    <row r="380" spans="1:16" ht="12" customHeight="1">
      <c r="A380" s="471" t="s">
        <v>182</v>
      </c>
      <c r="B380" s="471"/>
      <c r="C380" s="471"/>
      <c r="D380" s="471"/>
      <c r="E380" s="313"/>
      <c r="F380" s="313"/>
      <c r="G380" s="313"/>
      <c r="H380" s="313"/>
      <c r="I380" s="313"/>
      <c r="J380" s="315" t="s">
        <v>171</v>
      </c>
      <c r="K380" s="5" t="s">
        <v>171</v>
      </c>
      <c r="P380" s="34"/>
    </row>
    <row r="381" spans="1:16" ht="30" customHeight="1">
      <c r="A381" s="471"/>
      <c r="B381" s="471"/>
      <c r="C381" s="471"/>
      <c r="D381" s="471"/>
      <c r="E381" s="313"/>
      <c r="F381" s="313"/>
      <c r="G381" s="313"/>
      <c r="H381" s="313"/>
      <c r="I381" s="313"/>
      <c r="J381" s="315" t="s">
        <v>171</v>
      </c>
      <c r="K381" s="5" t="s">
        <v>171</v>
      </c>
      <c r="P381" s="34"/>
    </row>
    <row r="382" spans="1:11" ht="19.5" customHeight="1">
      <c r="A382" s="35" t="s">
        <v>314</v>
      </c>
      <c r="B382" s="315"/>
      <c r="C382" s="315"/>
      <c r="D382" s="315"/>
      <c r="E382" s="313"/>
      <c r="F382" s="313"/>
      <c r="G382" s="313"/>
      <c r="H382" s="313"/>
      <c r="I382" s="313"/>
      <c r="J382" s="315" t="s">
        <v>171</v>
      </c>
      <c r="K382" s="5" t="s">
        <v>171</v>
      </c>
    </row>
    <row r="383" spans="1:11" ht="12" customHeight="1">
      <c r="A383" s="35" t="s">
        <v>316</v>
      </c>
      <c r="B383" s="315"/>
      <c r="C383" s="315"/>
      <c r="D383" s="315"/>
      <c r="E383" s="313"/>
      <c r="F383" s="313"/>
      <c r="G383" s="313"/>
      <c r="H383" s="313"/>
      <c r="I383" s="313"/>
      <c r="J383" s="315" t="s">
        <v>171</v>
      </c>
      <c r="K383" s="5" t="s">
        <v>171</v>
      </c>
    </row>
    <row r="384" spans="1:11" ht="20.25" customHeight="1">
      <c r="A384" s="315"/>
      <c r="B384" s="315"/>
      <c r="C384" s="315"/>
      <c r="D384" s="315"/>
      <c r="E384" s="313"/>
      <c r="F384" s="313"/>
      <c r="G384" s="313"/>
      <c r="H384" s="313"/>
      <c r="I384" s="313"/>
      <c r="J384" s="315" t="s">
        <v>171</v>
      </c>
      <c r="K384" s="5" t="s">
        <v>171</v>
      </c>
    </row>
    <row r="385" spans="1:11" ht="12" customHeight="1">
      <c r="A385" s="35" t="s">
        <v>315</v>
      </c>
      <c r="B385" s="315"/>
      <c r="C385" s="315"/>
      <c r="D385" s="315"/>
      <c r="E385" s="313"/>
      <c r="F385" s="313"/>
      <c r="G385" s="313"/>
      <c r="H385" s="313"/>
      <c r="I385" s="313"/>
      <c r="J385" s="315" t="s">
        <v>171</v>
      </c>
      <c r="K385" s="5" t="s">
        <v>171</v>
      </c>
    </row>
    <row r="386" spans="1:11" ht="12.75">
      <c r="A386" s="35" t="s">
        <v>183</v>
      </c>
      <c r="B386" s="35"/>
      <c r="D386" s="314"/>
      <c r="E386" s="1" t="s">
        <v>183</v>
      </c>
      <c r="J386" s="4" t="s">
        <v>171</v>
      </c>
      <c r="K386" s="5" t="s">
        <v>171</v>
      </c>
    </row>
    <row r="387" spans="1:11" ht="25.5">
      <c r="A387" s="35" t="s">
        <v>184</v>
      </c>
      <c r="B387" s="35"/>
      <c r="C387" s="35" t="s">
        <v>185</v>
      </c>
      <c r="D387" s="506" t="s">
        <v>474</v>
      </c>
      <c r="J387" s="4" t="s">
        <v>171</v>
      </c>
      <c r="K387" s="5" t="s">
        <v>171</v>
      </c>
    </row>
    <row r="388" spans="2:11" ht="12.75">
      <c r="B388" s="180" t="s">
        <v>198</v>
      </c>
      <c r="D388" s="314"/>
      <c r="J388" s="4" t="s">
        <v>171</v>
      </c>
      <c r="K388" s="5" t="s">
        <v>171</v>
      </c>
    </row>
    <row r="399" ht="12.75">
      <c r="B399" s="388"/>
    </row>
  </sheetData>
  <sheetProtection password="CBCF" sheet="1" objects="1" autoFilter="0"/>
  <autoFilter ref="J19:O388"/>
  <mergeCells count="55">
    <mergeCell ref="A117:J117"/>
    <mergeCell ref="A154:J154"/>
    <mergeCell ref="A177:J177"/>
    <mergeCell ref="A120:J120"/>
    <mergeCell ref="B168:C168"/>
    <mergeCell ref="A225:J225"/>
    <mergeCell ref="A280:J280"/>
    <mergeCell ref="A268:J268"/>
    <mergeCell ref="A312:J312"/>
    <mergeCell ref="A311:J311"/>
    <mergeCell ref="A266:J266"/>
    <mergeCell ref="A267:J267"/>
    <mergeCell ref="A226:J226"/>
    <mergeCell ref="A228:J228"/>
    <mergeCell ref="A265:J265"/>
    <mergeCell ref="A374:I375"/>
    <mergeCell ref="A20:J20"/>
    <mergeCell ref="A70:J70"/>
    <mergeCell ref="A281:J281"/>
    <mergeCell ref="A85:J85"/>
    <mergeCell ref="A264:J264"/>
    <mergeCell ref="A69:J69"/>
    <mergeCell ref="A84:J84"/>
    <mergeCell ref="A121:J121"/>
    <mergeCell ref="A175:J175"/>
    <mergeCell ref="A376:D377"/>
    <mergeCell ref="A378:D379"/>
    <mergeCell ref="B8:C8"/>
    <mergeCell ref="C11:D14"/>
    <mergeCell ref="A153:J153"/>
    <mergeCell ref="A145:J145"/>
    <mergeCell ref="A116:J116"/>
    <mergeCell ref="A118:J118"/>
    <mergeCell ref="A119:J119"/>
    <mergeCell ref="B12:B16"/>
    <mergeCell ref="A380:D381"/>
    <mergeCell ref="A144:J144"/>
    <mergeCell ref="A227:J227"/>
    <mergeCell ref="A294:J294"/>
    <mergeCell ref="A300:J300"/>
    <mergeCell ref="A313:J313"/>
    <mergeCell ref="A293:J293"/>
    <mergeCell ref="A299:J299"/>
    <mergeCell ref="A176:J176"/>
    <mergeCell ref="B357:C357"/>
    <mergeCell ref="B64:C64"/>
    <mergeCell ref="B140:C140"/>
    <mergeCell ref="B111:C111"/>
    <mergeCell ref="B151:C151"/>
    <mergeCell ref="A353:J353"/>
    <mergeCell ref="A323:J323"/>
    <mergeCell ref="A343:J343"/>
    <mergeCell ref="A342:J342"/>
    <mergeCell ref="A322:J322"/>
    <mergeCell ref="A310:J310"/>
  </mergeCells>
  <conditionalFormatting sqref="Q344:Q352 Q282:Q292 Q295:Q298 Q269:Q279 Q314:Q321 Q86:Q115 Q229:Q263 Q16 Q178:Q224 Q146:Q152 Q155:Q174 Q71:Q83 Q21:Q68 Q122:Q143 Q324:Q341 Q301:Q309">
    <cfRule type="cellIs" priority="1" dxfId="13" operator="greaterThan" stopIfTrue="1">
      <formula>0</formula>
    </cfRule>
    <cfRule type="cellIs" priority="2" dxfId="14" operator="equal" stopIfTrue="1">
      <formula>0</formula>
    </cfRule>
    <cfRule type="cellIs" priority="3" dxfId="15" operator="lessThan" stopIfTrue="1">
      <formula>0</formula>
    </cfRule>
  </conditionalFormatting>
  <conditionalFormatting sqref="Q342:Q343 Q353 Q280 Q293 Q299 Q322:Q323 Q310:Q312 Q264:Q267 Q225:Q227 Q175:Q176 Q153 Q144 Q69:Q70 Q84:Q85 Q116:Q121 Q20">
    <cfRule type="cellIs" priority="4" dxfId="16" operator="greaterThan" stopIfTrue="1">
      <formula>0</formula>
    </cfRule>
    <cfRule type="cellIs" priority="5" dxfId="14" operator="equal" stopIfTrue="1">
      <formula>0</formula>
    </cfRule>
    <cfRule type="cellIs" priority="6" dxfId="15" operator="lessThan" stopIfTrue="1">
      <formula>0</formula>
    </cfRule>
  </conditionalFormatting>
  <conditionalFormatting sqref="L21:O352">
    <cfRule type="cellIs" priority="7" dxfId="17" operator="equal" stopIfTrue="1">
      <formula>0</formula>
    </cfRule>
  </conditionalFormatting>
  <conditionalFormatting sqref="K359:K366">
    <cfRule type="cellIs" priority="8" dxfId="18" operator="lessThanOrEqual" stopIfTrue="1">
      <formula>0</formula>
    </cfRule>
  </conditionalFormatting>
  <conditionalFormatting sqref="K358">
    <cfRule type="expression" priority="9" dxfId="18" stopIfTrue="1">
      <formula>Калькуляция!$D$358=0</formula>
    </cfRule>
  </conditionalFormatting>
  <conditionalFormatting sqref="K86:K115 K229:K263 K269:K279 K282:K292 K295:K298 K314:K321 K344:K352 K71:K83 K178:K224 K324:K341 K155:K174 K146:K152 K122:K143 K21:K68 K301:K309">
    <cfRule type="cellIs" priority="10" dxfId="19" operator="lessThan" stopIfTrue="1">
      <formula>0</formula>
    </cfRule>
  </conditionalFormatting>
  <conditionalFormatting sqref="C15">
    <cfRule type="expression" priority="11" dxfId="18" stopIfTrue="1">
      <formula>Калькуляция!$D$15=0</formula>
    </cfRule>
  </conditionalFormatting>
  <conditionalFormatting sqref="C16">
    <cfRule type="expression" priority="12" dxfId="18" stopIfTrue="1">
      <formula>Калькуляция!$D$16=0</formula>
    </cfRule>
  </conditionalFormatting>
  <conditionalFormatting sqref="C17">
    <cfRule type="expression" priority="13" dxfId="18" stopIfTrue="1">
      <formula>Калькуляция!$D$17=0</formula>
    </cfRule>
  </conditionalFormatting>
  <hyperlinks>
    <hyperlink ref="C1" r:id="rId1" display="www.aquafreshsystems.ru"/>
    <hyperlink ref="B388" r:id="rId2" display="www.aquafreshsystems.ru"/>
  </hyperlinks>
  <printOptions/>
  <pageMargins left="1.53" right="0.28" top="0.16" bottom="0.29" header="1.86" footer="6.4"/>
  <pageSetup fitToHeight="2" horizontalDpi="600" verticalDpi="600" orientation="portrait" paperSize="9" scale="65"/>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Andrey</dc:creator>
  <cp:keywords/>
  <dc:description/>
  <cp:lastModifiedBy>ANDREW HOME</cp:lastModifiedBy>
  <cp:lastPrinted>2008-10-20T09:24:47Z</cp:lastPrinted>
  <dcterms:created xsi:type="dcterms:W3CDTF">2006-08-22T07:31:23Z</dcterms:created>
  <dcterms:modified xsi:type="dcterms:W3CDTF">2018-10-02T17:52:01Z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